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825" yWindow="120" windowWidth="15210" windowHeight="4440" tabRatio="859" firstSheet="2" activeTab="2"/>
  </bookViews>
  <sheets>
    <sheet name="Схема №1 SPb (Сланцы)" sheetId="67" state="hidden" r:id="rId1"/>
    <sheet name="Cхема №2 Spb(Сланцы)" sheetId="71" state="hidden" r:id="rId2"/>
    <sheet name="EE" sheetId="90" r:id="rId3"/>
  </sheets>
  <definedNames>
    <definedName name="_xlnm._FilterDatabase" localSheetId="0" hidden="1">'Схема №1 SPb (Сланцы)'!$A$10:$AG$109</definedName>
  </definedNames>
  <calcPr calcId="145621"/>
</workbook>
</file>

<file path=xl/calcChain.xml><?xml version="1.0" encoding="utf-8"?>
<calcChain xmlns="http://schemas.openxmlformats.org/spreadsheetml/2006/main">
  <c r="V7" i="71" l="1"/>
  <c r="V10" i="71"/>
  <c r="K10" i="71"/>
  <c r="L10" i="71" s="1"/>
  <c r="N10" i="71"/>
  <c r="O10" i="71"/>
  <c r="Q10" i="71" s="1"/>
  <c r="P10" i="71"/>
  <c r="R10" i="71"/>
  <c r="U10" i="71"/>
  <c r="X10" i="71" s="1"/>
  <c r="W10" i="71"/>
  <c r="Z10" i="71"/>
  <c r="AA10" i="71" s="1"/>
  <c r="X11" i="71"/>
  <c r="AC11" i="71" s="1"/>
  <c r="Y11" i="71"/>
  <c r="AJ11" i="71"/>
  <c r="K12" i="71"/>
  <c r="R12" i="71" s="1"/>
  <c r="L12" i="71"/>
  <c r="N12" i="71"/>
  <c r="O12" i="71"/>
  <c r="P12" i="71"/>
  <c r="Q12" i="71"/>
  <c r="W12" i="71"/>
  <c r="Z12" i="71"/>
  <c r="AA12" i="71" s="1"/>
  <c r="K13" i="71"/>
  <c r="R13" i="71" s="1"/>
  <c r="L13" i="71"/>
  <c r="N13" i="71"/>
  <c r="O13" i="71"/>
  <c r="P13" i="71"/>
  <c r="Q13" i="71"/>
  <c r="W13" i="71"/>
  <c r="Z13" i="71"/>
  <c r="AA13" i="71"/>
  <c r="K14" i="71"/>
  <c r="L14" i="71" s="1"/>
  <c r="N14" i="71"/>
  <c r="O14" i="71"/>
  <c r="Q14" i="71" s="1"/>
  <c r="P14" i="71"/>
  <c r="R14" i="71"/>
  <c r="U14" i="71"/>
  <c r="X14" i="71" s="1"/>
  <c r="W14" i="71"/>
  <c r="Z14" i="71"/>
  <c r="AA14" i="71"/>
  <c r="K15" i="71"/>
  <c r="L15" i="71" s="1"/>
  <c r="N15" i="71"/>
  <c r="U15" i="71"/>
  <c r="O15" i="71"/>
  <c r="P15" i="71"/>
  <c r="Q15" i="71"/>
  <c r="R15" i="71"/>
  <c r="W15" i="71"/>
  <c r="Z15" i="71"/>
  <c r="AA15" i="71"/>
  <c r="K16" i="71"/>
  <c r="L16" i="71" s="1"/>
  <c r="N16" i="71"/>
  <c r="U16" i="71"/>
  <c r="X16" i="71"/>
  <c r="O16" i="71"/>
  <c r="P16" i="71"/>
  <c r="Q16" i="71"/>
  <c r="R16" i="71"/>
  <c r="W16" i="71"/>
  <c r="Z16" i="71"/>
  <c r="AA16" i="71"/>
  <c r="K17" i="71"/>
  <c r="L17" i="71" s="1"/>
  <c r="N17" i="71"/>
  <c r="U17" i="71"/>
  <c r="O17" i="71"/>
  <c r="Q17" i="71" s="1"/>
  <c r="P17" i="71"/>
  <c r="W17" i="71"/>
  <c r="Z17" i="71"/>
  <c r="AA17" i="71" s="1"/>
  <c r="U18" i="71"/>
  <c r="X18" i="71"/>
  <c r="AC18" i="71" s="1"/>
  <c r="Y18" i="71"/>
  <c r="AJ18" i="71"/>
  <c r="K19" i="71"/>
  <c r="N19" i="71"/>
  <c r="R19" i="71" s="1"/>
  <c r="O19" i="71"/>
  <c r="P19" i="71"/>
  <c r="Q19" i="71"/>
  <c r="V19" i="71"/>
  <c r="W19" i="71"/>
  <c r="Z19" i="71"/>
  <c r="AA19" i="71"/>
  <c r="K20" i="71"/>
  <c r="N20" i="71"/>
  <c r="R20" i="71"/>
  <c r="O20" i="71"/>
  <c r="Q20" i="71" s="1"/>
  <c r="P20" i="71"/>
  <c r="V20" i="71"/>
  <c r="W20" i="71"/>
  <c r="Z20" i="71"/>
  <c r="AA20" i="71" s="1"/>
  <c r="K21" i="71"/>
  <c r="N21" i="71"/>
  <c r="R21" i="71" s="1"/>
  <c r="O21" i="71"/>
  <c r="P21" i="71"/>
  <c r="Q21" i="71"/>
  <c r="V21" i="71"/>
  <c r="W21" i="71"/>
  <c r="Z21" i="71"/>
  <c r="AA21" i="71"/>
  <c r="K22" i="71"/>
  <c r="L22" i="71" s="1"/>
  <c r="N22" i="71"/>
  <c r="O22" i="71"/>
  <c r="Q22" i="71" s="1"/>
  <c r="P22" i="71"/>
  <c r="R22" i="71"/>
  <c r="V22" i="71"/>
  <c r="W22" i="71"/>
  <c r="Z22" i="71"/>
  <c r="AA22" i="71"/>
  <c r="X23" i="71"/>
  <c r="Y23" i="71" s="1"/>
  <c r="AJ23" i="71"/>
  <c r="K24" i="71"/>
  <c r="N24" i="71"/>
  <c r="R24" i="71" s="1"/>
  <c r="O24" i="71"/>
  <c r="P24" i="71"/>
  <c r="Q24" i="71"/>
  <c r="V24" i="71"/>
  <c r="W24" i="71"/>
  <c r="Z24" i="71"/>
  <c r="AA24" i="71"/>
  <c r="K25" i="71"/>
  <c r="N25" i="71"/>
  <c r="R25" i="71"/>
  <c r="O25" i="71"/>
  <c r="Q25" i="71" s="1"/>
  <c r="P25" i="71"/>
  <c r="V25" i="71"/>
  <c r="W25" i="71"/>
  <c r="Z25" i="71"/>
  <c r="AA25" i="71" s="1"/>
  <c r="K26" i="71"/>
  <c r="N26" i="71"/>
  <c r="R26" i="71" s="1"/>
  <c r="O26" i="71"/>
  <c r="P26" i="71"/>
  <c r="Q26" i="71"/>
  <c r="V26" i="71"/>
  <c r="W26" i="71"/>
  <c r="Z26" i="71"/>
  <c r="AA26" i="71"/>
  <c r="K27" i="71"/>
  <c r="N27" i="71"/>
  <c r="R27" i="71"/>
  <c r="O27" i="71"/>
  <c r="Q27" i="71" s="1"/>
  <c r="P27" i="71"/>
  <c r="V27" i="71"/>
  <c r="W27" i="71"/>
  <c r="Z27" i="71"/>
  <c r="AA27" i="71" s="1"/>
  <c r="X28" i="71"/>
  <c r="AC28" i="71" s="1"/>
  <c r="Y28" i="71"/>
  <c r="AJ28" i="71"/>
  <c r="K29" i="71"/>
  <c r="N29" i="71"/>
  <c r="R29" i="71" s="1"/>
  <c r="O29" i="71"/>
  <c r="P29" i="71"/>
  <c r="Q29" i="71"/>
  <c r="V29" i="71"/>
  <c r="W29" i="71"/>
  <c r="Z29" i="71"/>
  <c r="AA29" i="71"/>
  <c r="K30" i="71"/>
  <c r="N30" i="71"/>
  <c r="R30" i="71"/>
  <c r="O30" i="71"/>
  <c r="Q30" i="71" s="1"/>
  <c r="P30" i="71"/>
  <c r="V30" i="71"/>
  <c r="W30" i="71"/>
  <c r="Z30" i="71"/>
  <c r="AA30" i="71" s="1"/>
  <c r="X31" i="71"/>
  <c r="Y31" i="71"/>
  <c r="AJ31" i="71"/>
  <c r="K32" i="71"/>
  <c r="N32" i="71"/>
  <c r="R32" i="71"/>
  <c r="O32" i="71"/>
  <c r="P32" i="71"/>
  <c r="Q32" i="71"/>
  <c r="V32" i="71"/>
  <c r="W32" i="71"/>
  <c r="Z32" i="71"/>
  <c r="AA32" i="71"/>
  <c r="K33" i="71"/>
  <c r="N33" i="71"/>
  <c r="R33" i="71" s="1"/>
  <c r="O33" i="71"/>
  <c r="Q33" i="71" s="1"/>
  <c r="P33" i="71"/>
  <c r="V33" i="71"/>
  <c r="W33" i="71"/>
  <c r="Z33" i="71"/>
  <c r="AA33" i="71" s="1"/>
  <c r="K34" i="71"/>
  <c r="L34" i="71"/>
  <c r="N34" i="71"/>
  <c r="R34" i="71" s="1"/>
  <c r="O34" i="71"/>
  <c r="P34" i="71"/>
  <c r="Q34" i="71"/>
  <c r="V34" i="71"/>
  <c r="W34" i="71"/>
  <c r="Z34" i="71"/>
  <c r="AA34" i="71"/>
  <c r="K35" i="71"/>
  <c r="N35" i="71"/>
  <c r="R35" i="71"/>
  <c r="O35" i="71"/>
  <c r="Q35" i="71" s="1"/>
  <c r="P35" i="71"/>
  <c r="V35" i="71"/>
  <c r="W35" i="71"/>
  <c r="Z35" i="71"/>
  <c r="AA35" i="71" s="1"/>
  <c r="K36" i="71"/>
  <c r="L36" i="71"/>
  <c r="N36" i="71"/>
  <c r="R36" i="71" s="1"/>
  <c r="O36" i="71"/>
  <c r="Q36" i="71" s="1"/>
  <c r="P36" i="71"/>
  <c r="V36" i="71"/>
  <c r="W36" i="71"/>
  <c r="Z36" i="71"/>
  <c r="AA36" i="71" s="1"/>
  <c r="K37" i="71"/>
  <c r="L37" i="71"/>
  <c r="N37" i="71"/>
  <c r="U37" i="71" s="1"/>
  <c r="O37" i="71"/>
  <c r="P37" i="71"/>
  <c r="Q37" i="71"/>
  <c r="V37" i="71"/>
  <c r="W37" i="71"/>
  <c r="Z37" i="71"/>
  <c r="AA37" i="71" s="1"/>
  <c r="K38" i="71"/>
  <c r="L38" i="71"/>
  <c r="N38" i="71"/>
  <c r="O38" i="71"/>
  <c r="P38" i="71"/>
  <c r="Q38" i="71"/>
  <c r="R38" i="71"/>
  <c r="V38" i="71"/>
  <c r="W38" i="71"/>
  <c r="Z38" i="71"/>
  <c r="AA38" i="71"/>
  <c r="K39" i="71"/>
  <c r="L39" i="71" s="1"/>
  <c r="N39" i="71"/>
  <c r="R39" i="71"/>
  <c r="O39" i="71"/>
  <c r="P39" i="71"/>
  <c r="Q39" i="71"/>
  <c r="V39" i="71"/>
  <c r="W39" i="71"/>
  <c r="Z39" i="71"/>
  <c r="AA39" i="71"/>
  <c r="K40" i="71"/>
  <c r="R40" i="71" s="1"/>
  <c r="N40" i="71"/>
  <c r="U40" i="71"/>
  <c r="O40" i="71"/>
  <c r="Q40" i="71" s="1"/>
  <c r="P40" i="71"/>
  <c r="V40" i="71"/>
  <c r="W40" i="71"/>
  <c r="Z40" i="71"/>
  <c r="AA40" i="71"/>
  <c r="X41" i="71"/>
  <c r="Y41" i="71" s="1"/>
  <c r="AJ41" i="71"/>
  <c r="K42" i="71"/>
  <c r="L42" i="71" s="1"/>
  <c r="N42" i="71"/>
  <c r="O42" i="71"/>
  <c r="Q42" i="71" s="1"/>
  <c r="P42" i="71"/>
  <c r="V42" i="71"/>
  <c r="W42" i="71"/>
  <c r="Z42" i="71"/>
  <c r="AA42" i="71" s="1"/>
  <c r="K43" i="71"/>
  <c r="L43" i="71"/>
  <c r="N43" i="71"/>
  <c r="R43" i="71" s="1"/>
  <c r="O43" i="71"/>
  <c r="Q43" i="71" s="1"/>
  <c r="P43" i="71"/>
  <c r="V43" i="71"/>
  <c r="W43" i="71"/>
  <c r="Z43" i="71"/>
  <c r="AA43" i="71" s="1"/>
  <c r="K44" i="71"/>
  <c r="L44" i="71"/>
  <c r="N44" i="71"/>
  <c r="O44" i="71"/>
  <c r="P44" i="71"/>
  <c r="Q44" i="71"/>
  <c r="R44" i="71"/>
  <c r="V44" i="71"/>
  <c r="W44" i="71"/>
  <c r="Z44" i="71"/>
  <c r="AA44" i="71"/>
  <c r="K45" i="71"/>
  <c r="L45" i="71" s="1"/>
  <c r="N45" i="71"/>
  <c r="O45" i="71"/>
  <c r="Q45" i="71" s="1"/>
  <c r="P45" i="71"/>
  <c r="R45" i="71"/>
  <c r="V45" i="71"/>
  <c r="W45" i="71"/>
  <c r="Z45" i="71"/>
  <c r="AA45" i="71"/>
  <c r="K46" i="71"/>
  <c r="L46" i="71" s="1"/>
  <c r="N46" i="71"/>
  <c r="O46" i="71"/>
  <c r="Q46" i="71" s="1"/>
  <c r="P46" i="71"/>
  <c r="V46" i="71"/>
  <c r="W46" i="71"/>
  <c r="Z46" i="71"/>
  <c r="AA46" i="71" s="1"/>
  <c r="K47" i="71"/>
  <c r="L47" i="71"/>
  <c r="N47" i="71"/>
  <c r="R47" i="71" s="1"/>
  <c r="O47" i="71"/>
  <c r="Q47" i="71" s="1"/>
  <c r="P47" i="71"/>
  <c r="V47" i="71"/>
  <c r="W47" i="71"/>
  <c r="Z47" i="71"/>
  <c r="AA47" i="71" s="1"/>
  <c r="X48" i="71"/>
  <c r="Y48" i="71"/>
  <c r="AC48" i="71"/>
  <c r="AJ48" i="71"/>
  <c r="K49" i="71"/>
  <c r="L49" i="71"/>
  <c r="N49" i="71"/>
  <c r="U49" i="71" s="1"/>
  <c r="O49" i="71"/>
  <c r="P49" i="71"/>
  <c r="Q49" i="71"/>
  <c r="V49" i="71"/>
  <c r="W49" i="71"/>
  <c r="Z49" i="71"/>
  <c r="AA49" i="71"/>
  <c r="W50" i="71"/>
  <c r="X50" i="71"/>
  <c r="Y50" i="71"/>
  <c r="Z50" i="71"/>
  <c r="AC50" i="71" s="1"/>
  <c r="AJ50" i="71"/>
  <c r="K51" i="71"/>
  <c r="R51" i="71" s="1"/>
  <c r="L51" i="71"/>
  <c r="N51" i="71"/>
  <c r="O51" i="71"/>
  <c r="P51" i="71"/>
  <c r="Q51" i="71"/>
  <c r="V51" i="71"/>
  <c r="W51" i="71"/>
  <c r="Z51" i="71"/>
  <c r="AA51" i="71" s="1"/>
  <c r="K52" i="71"/>
  <c r="N52" i="71"/>
  <c r="O52" i="71"/>
  <c r="Q52" i="71" s="1"/>
  <c r="P52" i="71"/>
  <c r="R52" i="71"/>
  <c r="V52" i="71"/>
  <c r="W52" i="71"/>
  <c r="Z52" i="71"/>
  <c r="AA52" i="71"/>
  <c r="X53" i="71"/>
  <c r="Y53" i="71" s="1"/>
  <c r="AJ53" i="71"/>
  <c r="K54" i="71"/>
  <c r="L54" i="71"/>
  <c r="N54" i="71"/>
  <c r="O54" i="71"/>
  <c r="P54" i="71"/>
  <c r="Q54" i="71"/>
  <c r="V54" i="71"/>
  <c r="W54" i="71"/>
  <c r="Z54" i="71"/>
  <c r="AA54" i="71"/>
  <c r="K55" i="71"/>
  <c r="L55" i="71" s="1"/>
  <c r="N55" i="71"/>
  <c r="O55" i="71"/>
  <c r="Q55" i="71" s="1"/>
  <c r="P55" i="71"/>
  <c r="V55" i="71"/>
  <c r="W55" i="71"/>
  <c r="Z55" i="71"/>
  <c r="AA55" i="71" s="1"/>
  <c r="K56" i="71"/>
  <c r="L56" i="71"/>
  <c r="N56" i="71"/>
  <c r="O56" i="71"/>
  <c r="P56" i="71"/>
  <c r="Q56" i="71"/>
  <c r="V56" i="71"/>
  <c r="W56" i="71"/>
  <c r="Z56" i="71"/>
  <c r="AA56" i="71"/>
  <c r="K57" i="71"/>
  <c r="L57" i="71" s="1"/>
  <c r="N57" i="71"/>
  <c r="O57" i="71"/>
  <c r="Q57" i="71" s="1"/>
  <c r="P57" i="71"/>
  <c r="V57" i="71"/>
  <c r="W57" i="71"/>
  <c r="Z57" i="71"/>
  <c r="AA57" i="71" s="1"/>
  <c r="K58" i="71"/>
  <c r="L58" i="71"/>
  <c r="N58" i="71"/>
  <c r="U58" i="71" s="1"/>
  <c r="O58" i="71"/>
  <c r="Q58" i="71" s="1"/>
  <c r="P58" i="71"/>
  <c r="V58" i="71"/>
  <c r="W58" i="71"/>
  <c r="Z58" i="71"/>
  <c r="AA58" i="71" s="1"/>
  <c r="K59" i="71"/>
  <c r="L59" i="71"/>
  <c r="N59" i="71"/>
  <c r="U59" i="71" s="1"/>
  <c r="O59" i="71"/>
  <c r="P59" i="71"/>
  <c r="Q59" i="71"/>
  <c r="V59" i="71"/>
  <c r="W59" i="71"/>
  <c r="Z59" i="71"/>
  <c r="AA59" i="71"/>
  <c r="K60" i="71"/>
  <c r="L60" i="71" s="1"/>
  <c r="N60" i="71"/>
  <c r="U60" i="71"/>
  <c r="O60" i="71"/>
  <c r="P60" i="71"/>
  <c r="Q60" i="71"/>
  <c r="V60" i="71"/>
  <c r="W60" i="71"/>
  <c r="Z60" i="71"/>
  <c r="AA60" i="71"/>
  <c r="K61" i="71"/>
  <c r="L61" i="71" s="1"/>
  <c r="N61" i="71"/>
  <c r="U61" i="71"/>
  <c r="O61" i="71"/>
  <c r="Q61" i="71" s="1"/>
  <c r="P61" i="71"/>
  <c r="V61" i="71"/>
  <c r="W61" i="71"/>
  <c r="Z61" i="71"/>
  <c r="AA61" i="71" s="1"/>
  <c r="K62" i="71"/>
  <c r="L62" i="71"/>
  <c r="N62" i="71"/>
  <c r="U62" i="71" s="1"/>
  <c r="O62" i="71"/>
  <c r="Q62" i="71" s="1"/>
  <c r="P62" i="71"/>
  <c r="V62" i="71"/>
  <c r="W62" i="71"/>
  <c r="Z62" i="71"/>
  <c r="AA62" i="71" s="1"/>
  <c r="K63" i="71"/>
  <c r="L63" i="71"/>
  <c r="N63" i="71"/>
  <c r="U63" i="71" s="1"/>
  <c r="O63" i="71"/>
  <c r="P63" i="71"/>
  <c r="Q63" i="71"/>
  <c r="V63" i="71"/>
  <c r="W63" i="71"/>
  <c r="Z63" i="71"/>
  <c r="AA63" i="71"/>
  <c r="K64" i="71"/>
  <c r="L64" i="71" s="1"/>
  <c r="N64" i="71"/>
  <c r="U64" i="71"/>
  <c r="O64" i="71"/>
  <c r="P64" i="71"/>
  <c r="Q64" i="71"/>
  <c r="V64" i="71"/>
  <c r="W64" i="71"/>
  <c r="Z64" i="71"/>
  <c r="AA64" i="71"/>
  <c r="K65" i="71"/>
  <c r="L65" i="71" s="1"/>
  <c r="N65" i="71"/>
  <c r="U65" i="71"/>
  <c r="O65" i="71"/>
  <c r="Q65" i="71" s="1"/>
  <c r="P65" i="71"/>
  <c r="V65" i="71"/>
  <c r="W65" i="71"/>
  <c r="Z65" i="71"/>
  <c r="AA65" i="71" s="1"/>
  <c r="X66" i="71"/>
  <c r="AC66" i="71" s="1"/>
  <c r="Y66" i="71"/>
  <c r="AJ66" i="71"/>
  <c r="K67" i="71"/>
  <c r="L67" i="71"/>
  <c r="N67" i="71"/>
  <c r="U67" i="71" s="1"/>
  <c r="O67" i="71"/>
  <c r="Q67" i="71" s="1"/>
  <c r="P67" i="71"/>
  <c r="V67" i="71"/>
  <c r="W67" i="71"/>
  <c r="Z67" i="71"/>
  <c r="AA67" i="71" s="1"/>
  <c r="K68" i="71"/>
  <c r="L68" i="71"/>
  <c r="N68" i="71"/>
  <c r="U68" i="71" s="1"/>
  <c r="O68" i="71"/>
  <c r="P68" i="71"/>
  <c r="Q68" i="71"/>
  <c r="V68" i="71"/>
  <c r="W68" i="71"/>
  <c r="Z68" i="71"/>
  <c r="AA68" i="71"/>
  <c r="X69" i="71"/>
  <c r="Y69" i="71" s="1"/>
  <c r="AC69" i="71"/>
  <c r="AJ69" i="71"/>
  <c r="X70" i="71"/>
  <c r="Y70" i="71" s="1"/>
  <c r="AC70" i="71"/>
  <c r="AJ70" i="71"/>
  <c r="K71" i="71"/>
  <c r="L71" i="71" s="1"/>
  <c r="N71" i="71"/>
  <c r="O71" i="71"/>
  <c r="Q71" i="71" s="1"/>
  <c r="P71" i="71"/>
  <c r="R71" i="71"/>
  <c r="V71" i="71"/>
  <c r="W71" i="71"/>
  <c r="Z71" i="71"/>
  <c r="AA71" i="71"/>
  <c r="K72" i="71"/>
  <c r="L72" i="71" s="1"/>
  <c r="N72" i="71"/>
  <c r="O72" i="71"/>
  <c r="Q72" i="71" s="1"/>
  <c r="P72" i="71"/>
  <c r="V72" i="71"/>
  <c r="W72" i="71"/>
  <c r="Z72" i="71"/>
  <c r="AA72" i="71" s="1"/>
  <c r="K73" i="71"/>
  <c r="L73" i="71"/>
  <c r="N73" i="71"/>
  <c r="U73" i="71" s="1"/>
  <c r="X73" i="71" s="1"/>
  <c r="AC73" i="71"/>
  <c r="AD73" i="71" s="1"/>
  <c r="O73" i="71"/>
  <c r="P73" i="71"/>
  <c r="Q73" i="71"/>
  <c r="V73" i="71"/>
  <c r="W73" i="71"/>
  <c r="Z73" i="71"/>
  <c r="AA73" i="71"/>
  <c r="K74" i="71"/>
  <c r="L74" i="71" s="1"/>
  <c r="N74" i="71"/>
  <c r="U74" i="71"/>
  <c r="O74" i="71"/>
  <c r="P74" i="71"/>
  <c r="Q74" i="71"/>
  <c r="V74" i="71"/>
  <c r="W74" i="71"/>
  <c r="Z74" i="71"/>
  <c r="AA74" i="71"/>
  <c r="X75" i="71"/>
  <c r="Y75" i="71" s="1"/>
  <c r="AA75" i="71"/>
  <c r="AJ75" i="71"/>
  <c r="K76" i="71"/>
  <c r="L76" i="71" s="1"/>
  <c r="N76" i="71"/>
  <c r="U76" i="71"/>
  <c r="X76" i="71"/>
  <c r="O76" i="71"/>
  <c r="P76" i="71"/>
  <c r="Q76" i="71"/>
  <c r="R76" i="71"/>
  <c r="V76" i="71"/>
  <c r="W76" i="71"/>
  <c r="Z76" i="71"/>
  <c r="AA76" i="71"/>
  <c r="K77" i="71"/>
  <c r="L77" i="71" s="1"/>
  <c r="N77" i="71"/>
  <c r="R77" i="71" s="1"/>
  <c r="U77" i="71"/>
  <c r="X77" i="71" s="1"/>
  <c r="O77" i="71"/>
  <c r="P77" i="71"/>
  <c r="Q77" i="71"/>
  <c r="V77" i="71"/>
  <c r="W77" i="71"/>
  <c r="Z77" i="71"/>
  <c r="AA77" i="71" s="1"/>
  <c r="K78" i="71"/>
  <c r="L78" i="71"/>
  <c r="N78" i="71"/>
  <c r="O78" i="71"/>
  <c r="Q78" i="71" s="1"/>
  <c r="P78" i="71"/>
  <c r="V78" i="71"/>
  <c r="W78" i="71"/>
  <c r="Z78" i="71"/>
  <c r="AA78" i="71" s="1"/>
  <c r="K79" i="71"/>
  <c r="L79" i="71"/>
  <c r="N79" i="71"/>
  <c r="U79" i="71" s="1"/>
  <c r="X79" i="71" s="1"/>
  <c r="O79" i="71"/>
  <c r="Q79" i="71" s="1"/>
  <c r="P79" i="71"/>
  <c r="R79" i="71"/>
  <c r="V79" i="71"/>
  <c r="W79" i="71"/>
  <c r="Z79" i="71"/>
  <c r="AA79" i="71"/>
  <c r="K80" i="71"/>
  <c r="N80" i="71"/>
  <c r="O80" i="71"/>
  <c r="Q80" i="71" s="1"/>
  <c r="P80" i="71"/>
  <c r="V80" i="71"/>
  <c r="W80" i="71"/>
  <c r="Z80" i="71"/>
  <c r="AA80" i="71" s="1"/>
  <c r="K81" i="71"/>
  <c r="L81" i="71"/>
  <c r="N81" i="71"/>
  <c r="U81" i="71" s="1"/>
  <c r="X81" i="71" s="1"/>
  <c r="AC81" i="71" s="1"/>
  <c r="AD81" i="71" s="1"/>
  <c r="O81" i="71"/>
  <c r="Q81" i="71" s="1"/>
  <c r="P81" i="71"/>
  <c r="R81" i="71"/>
  <c r="V81" i="71"/>
  <c r="W81" i="71"/>
  <c r="Z81" i="71"/>
  <c r="AA81" i="71"/>
  <c r="K82" i="71"/>
  <c r="L82" i="71" s="1"/>
  <c r="N82" i="71"/>
  <c r="U82" i="71"/>
  <c r="X82" i="71" s="1"/>
  <c r="AC82" i="71" s="1"/>
  <c r="O82" i="71"/>
  <c r="P82" i="71"/>
  <c r="Q82" i="71"/>
  <c r="R82" i="71"/>
  <c r="V82" i="71"/>
  <c r="W82" i="71"/>
  <c r="Z82" i="71"/>
  <c r="AA82" i="71" s="1"/>
  <c r="X83" i="71"/>
  <c r="Y83" i="71" s="1"/>
  <c r="AC83" i="71"/>
  <c r="AJ83" i="71"/>
  <c r="X84" i="71"/>
  <c r="Y84" i="71" s="1"/>
  <c r="AC84" i="71"/>
  <c r="AJ84" i="71"/>
  <c r="K85" i="71"/>
  <c r="L85" i="71" s="1"/>
  <c r="N85" i="71"/>
  <c r="R85" i="71" s="1"/>
  <c r="O85" i="71"/>
  <c r="P85" i="71"/>
  <c r="Q85" i="71" s="1"/>
  <c r="V85" i="71"/>
  <c r="W85" i="71"/>
  <c r="Z85" i="71"/>
  <c r="AA85" i="71" s="1"/>
  <c r="X86" i="71"/>
  <c r="Y86" i="71"/>
  <c r="AC86" i="71"/>
  <c r="AJ86" i="71"/>
  <c r="K87" i="71"/>
  <c r="L87" i="71"/>
  <c r="N87" i="71"/>
  <c r="O87" i="71"/>
  <c r="P87" i="71"/>
  <c r="Q87" i="71" s="1"/>
  <c r="V87" i="71"/>
  <c r="W87" i="71"/>
  <c r="Z87" i="71"/>
  <c r="AA87" i="71" s="1"/>
  <c r="X88" i="71"/>
  <c r="Y88" i="71"/>
  <c r="AC88" i="71"/>
  <c r="AJ88" i="71"/>
  <c r="K89" i="71"/>
  <c r="L89" i="71"/>
  <c r="N89" i="71"/>
  <c r="O89" i="71"/>
  <c r="Q89" i="71" s="1"/>
  <c r="P89" i="71"/>
  <c r="V89" i="71"/>
  <c r="W89" i="71"/>
  <c r="Z89" i="71"/>
  <c r="AA89" i="71" s="1"/>
  <c r="K90" i="71"/>
  <c r="L90" i="71"/>
  <c r="N90" i="71"/>
  <c r="U90" i="71" s="1"/>
  <c r="O90" i="71"/>
  <c r="Q90" i="71" s="1"/>
  <c r="P90" i="71"/>
  <c r="V90" i="71"/>
  <c r="W90" i="71"/>
  <c r="Z90" i="71"/>
  <c r="AA90" i="71" s="1"/>
  <c r="X91" i="71"/>
  <c r="AC91" i="71" s="1"/>
  <c r="Y91" i="71"/>
  <c r="AJ91" i="71"/>
  <c r="X92" i="71"/>
  <c r="AC92" i="71" s="1"/>
  <c r="AJ92" i="71"/>
  <c r="K93" i="71"/>
  <c r="L93" i="71" s="1"/>
  <c r="N93" i="71"/>
  <c r="U93" i="71" s="1"/>
  <c r="O93" i="71"/>
  <c r="P93" i="71"/>
  <c r="V93" i="71"/>
  <c r="W93" i="71"/>
  <c r="Z93" i="71"/>
  <c r="AA93" i="71" s="1"/>
  <c r="K94" i="71"/>
  <c r="R94" i="71" s="1"/>
  <c r="N94" i="71"/>
  <c r="U94" i="71" s="1"/>
  <c r="O94" i="71"/>
  <c r="P94" i="71"/>
  <c r="Q94" i="71" s="1"/>
  <c r="X94" i="71"/>
  <c r="V94" i="71"/>
  <c r="W94" i="71"/>
  <c r="Z94" i="71"/>
  <c r="AA94" i="71"/>
  <c r="K95" i="71"/>
  <c r="L95" i="71"/>
  <c r="N95" i="71"/>
  <c r="U95" i="71"/>
  <c r="O95" i="71"/>
  <c r="P95" i="71"/>
  <c r="V95" i="71"/>
  <c r="W95" i="71"/>
  <c r="Z95" i="71"/>
  <c r="AA95" i="71" s="1"/>
  <c r="K96" i="71"/>
  <c r="R96" i="71" s="1"/>
  <c r="N96" i="71"/>
  <c r="U96" i="71" s="1"/>
  <c r="X96" i="71"/>
  <c r="O96" i="71"/>
  <c r="Q96" i="71" s="1"/>
  <c r="P96" i="71"/>
  <c r="V96" i="71"/>
  <c r="W96" i="71"/>
  <c r="Z96" i="71"/>
  <c r="AA96" i="71"/>
  <c r="K97" i="71"/>
  <c r="R97" i="71" s="1"/>
  <c r="N97" i="71"/>
  <c r="U97" i="71"/>
  <c r="O97" i="71"/>
  <c r="Q97" i="71" s="1"/>
  <c r="P97" i="71"/>
  <c r="V97" i="71"/>
  <c r="W97" i="71"/>
  <c r="Z97" i="71"/>
  <c r="AA97" i="71"/>
  <c r="K99" i="71"/>
  <c r="R99" i="71" s="1"/>
  <c r="N99" i="71"/>
  <c r="O99" i="71"/>
  <c r="P99" i="71"/>
  <c r="Q99" i="71" s="1"/>
  <c r="U99" i="71" s="1"/>
  <c r="AC99" i="71" s="1"/>
  <c r="V99" i="71"/>
  <c r="W99" i="71"/>
  <c r="X99" i="71"/>
  <c r="Y99" i="71" s="1"/>
  <c r="Z99" i="71"/>
  <c r="AA99" i="71" s="1"/>
  <c r="K100" i="71"/>
  <c r="L100" i="71" s="1"/>
  <c r="K101" i="71"/>
  <c r="L101" i="71"/>
  <c r="K102" i="71"/>
  <c r="L102" i="71" s="1"/>
  <c r="N102" i="71"/>
  <c r="O102" i="71"/>
  <c r="Q102" i="71" s="1"/>
  <c r="U102" i="71" s="1"/>
  <c r="AC102" i="71" s="1"/>
  <c r="AD102" i="71" s="1"/>
  <c r="P102" i="71"/>
  <c r="R102" i="71"/>
  <c r="V102" i="71"/>
  <c r="W102" i="71"/>
  <c r="X102" i="71"/>
  <c r="Y102" i="71" s="1"/>
  <c r="AB102" i="71" s="1"/>
  <c r="Z102" i="71"/>
  <c r="AA102" i="71"/>
  <c r="K103" i="71"/>
  <c r="L103" i="71" s="1"/>
  <c r="N103" i="71"/>
  <c r="O103" i="71"/>
  <c r="Q103" i="71" s="1"/>
  <c r="U103" i="71" s="1"/>
  <c r="AC103" i="71" s="1"/>
  <c r="P103" i="71"/>
  <c r="R103" i="71"/>
  <c r="V103" i="71"/>
  <c r="W103" i="71"/>
  <c r="X103" i="71"/>
  <c r="Y103" i="71" s="1"/>
  <c r="AB103" i="71" s="1"/>
  <c r="Z103" i="71"/>
  <c r="AA103" i="71"/>
  <c r="K104" i="71"/>
  <c r="L104" i="71" s="1"/>
  <c r="N104" i="71"/>
  <c r="O104" i="71"/>
  <c r="Q104" i="71" s="1"/>
  <c r="U104" i="71" s="1"/>
  <c r="AC104" i="71" s="1"/>
  <c r="P104" i="71"/>
  <c r="R104" i="71"/>
  <c r="V104" i="71"/>
  <c r="W104" i="71"/>
  <c r="X104" i="71"/>
  <c r="Y104" i="71" s="1"/>
  <c r="AB104" i="71" s="1"/>
  <c r="Z104" i="71"/>
  <c r="AA104" i="71"/>
  <c r="K105" i="71"/>
  <c r="L105" i="71" s="1"/>
  <c r="N105" i="71"/>
  <c r="R105" i="71" s="1"/>
  <c r="O105" i="71"/>
  <c r="Q105" i="71" s="1"/>
  <c r="U105" i="71" s="1"/>
  <c r="AC105" i="71" s="1"/>
  <c r="P105" i="71"/>
  <c r="V105" i="71"/>
  <c r="W105" i="71"/>
  <c r="X105" i="71"/>
  <c r="Y105" i="71" s="1"/>
  <c r="AB105" i="71" s="1"/>
  <c r="Z105" i="71"/>
  <c r="AA105" i="71"/>
  <c r="K106" i="71"/>
  <c r="L106" i="71" s="1"/>
  <c r="N106" i="71"/>
  <c r="R106" i="71" s="1"/>
  <c r="O106" i="71"/>
  <c r="Q106" i="71" s="1"/>
  <c r="U106" i="71" s="1"/>
  <c r="AC106" i="71" s="1"/>
  <c r="P106" i="71"/>
  <c r="V106" i="71"/>
  <c r="W106" i="71"/>
  <c r="X106" i="71"/>
  <c r="Y106" i="71" s="1"/>
  <c r="AB106" i="71" s="1"/>
  <c r="Z106" i="71"/>
  <c r="AA106" i="71"/>
  <c r="K107" i="71"/>
  <c r="L107" i="71" s="1"/>
  <c r="N107" i="71"/>
  <c r="R107" i="71" s="1"/>
  <c r="O107" i="71"/>
  <c r="Q107" i="71" s="1"/>
  <c r="U107" i="71" s="1"/>
  <c r="AC107" i="71" s="1"/>
  <c r="P107" i="71"/>
  <c r="V107" i="71"/>
  <c r="W107" i="71"/>
  <c r="X107" i="71"/>
  <c r="Y107" i="71" s="1"/>
  <c r="AB107" i="71" s="1"/>
  <c r="Z107" i="71"/>
  <c r="AA107" i="71" s="1"/>
  <c r="S9" i="67"/>
  <c r="K12" i="67"/>
  <c r="L12" i="67"/>
  <c r="O12" i="67"/>
  <c r="P12" i="67"/>
  <c r="Q12" i="67"/>
  <c r="S12" i="67"/>
  <c r="AB12" i="67" s="1"/>
  <c r="T12" i="67"/>
  <c r="U12" i="67"/>
  <c r="V12" i="67"/>
  <c r="W12" i="67"/>
  <c r="X12" i="67"/>
  <c r="Y12" i="67"/>
  <c r="Z12" i="67"/>
  <c r="AA12" i="67"/>
  <c r="AD12" i="67"/>
  <c r="O13" i="67"/>
  <c r="K14" i="67"/>
  <c r="L14" i="67"/>
  <c r="O14" i="67"/>
  <c r="P14" i="67"/>
  <c r="Q14" i="67"/>
  <c r="S14" i="67"/>
  <c r="AB14" i="67" s="1"/>
  <c r="AC14" i="67" s="1"/>
  <c r="T14" i="67"/>
  <c r="U14" i="67"/>
  <c r="V14" i="67"/>
  <c r="W14" i="67"/>
  <c r="X14" i="67"/>
  <c r="Y14" i="67"/>
  <c r="Z14" i="67"/>
  <c r="AA14" i="67"/>
  <c r="AD14" i="67"/>
  <c r="K15" i="67"/>
  <c r="L15" i="67"/>
  <c r="O15" i="67"/>
  <c r="P15" i="67"/>
  <c r="Q15" i="67"/>
  <c r="S15" i="67"/>
  <c r="AB15" i="67"/>
  <c r="T15" i="67"/>
  <c r="U15" i="67"/>
  <c r="V15" i="67"/>
  <c r="W15" i="67"/>
  <c r="X15" i="67"/>
  <c r="Y15" i="67"/>
  <c r="Z15" i="67"/>
  <c r="AA15" i="67"/>
  <c r="AD15" i="67"/>
  <c r="K16" i="67"/>
  <c r="L16" i="67"/>
  <c r="O16" i="67"/>
  <c r="P16" i="67"/>
  <c r="Q16" i="67"/>
  <c r="S16" i="67"/>
  <c r="AB16" i="67"/>
  <c r="AC16" i="67" s="1"/>
  <c r="T16" i="67"/>
  <c r="U16" i="67"/>
  <c r="V16" i="67"/>
  <c r="W16" i="67"/>
  <c r="X16" i="67"/>
  <c r="Y16" i="67"/>
  <c r="Z16" i="67"/>
  <c r="AA16" i="67"/>
  <c r="AD16" i="67"/>
  <c r="K17" i="67"/>
  <c r="L17" i="67"/>
  <c r="O17" i="67"/>
  <c r="P17" i="67"/>
  <c r="Q17" i="67"/>
  <c r="S17" i="67"/>
  <c r="AB17" i="67" s="1"/>
  <c r="T17" i="67"/>
  <c r="U17" i="67"/>
  <c r="V17" i="67"/>
  <c r="W17" i="67"/>
  <c r="X17" i="67"/>
  <c r="Y17" i="67"/>
  <c r="Z17" i="67"/>
  <c r="AA17" i="67"/>
  <c r="AD17" i="67"/>
  <c r="K18" i="67"/>
  <c r="L18" i="67"/>
  <c r="O18" i="67"/>
  <c r="P18" i="67"/>
  <c r="Q18" i="67"/>
  <c r="S18" i="67"/>
  <c r="T18" i="67"/>
  <c r="U18" i="67"/>
  <c r="V18" i="67"/>
  <c r="W18" i="67"/>
  <c r="X18" i="67"/>
  <c r="Y18" i="67"/>
  <c r="Z18" i="67"/>
  <c r="AA18" i="67"/>
  <c r="AD18" i="67"/>
  <c r="K19" i="67"/>
  <c r="L19" i="67"/>
  <c r="O19" i="67"/>
  <c r="P19" i="67"/>
  <c r="Q19" i="67"/>
  <c r="S19" i="67"/>
  <c r="AB19" i="67" s="1"/>
  <c r="T19" i="67"/>
  <c r="U19" i="67"/>
  <c r="V19" i="67"/>
  <c r="W19" i="67"/>
  <c r="X19" i="67"/>
  <c r="Y19" i="67"/>
  <c r="Z19" i="67"/>
  <c r="AA19" i="67"/>
  <c r="AD19" i="67"/>
  <c r="O20" i="67"/>
  <c r="K21" i="67"/>
  <c r="L21" i="67"/>
  <c r="O21" i="67"/>
  <c r="P21" i="67"/>
  <c r="Q21" i="67"/>
  <c r="S21" i="67"/>
  <c r="AB21" i="67"/>
  <c r="AC21" i="67" s="1"/>
  <c r="AE21" i="67" s="1"/>
  <c r="T21" i="67"/>
  <c r="U21" i="67"/>
  <c r="V21" i="67"/>
  <c r="W21" i="67"/>
  <c r="X21" i="67"/>
  <c r="Y21" i="67"/>
  <c r="Z21" i="67"/>
  <c r="AA21" i="67"/>
  <c r="AD21" i="67"/>
  <c r="K22" i="67"/>
  <c r="L22" i="67"/>
  <c r="O22" i="67"/>
  <c r="P22" i="67"/>
  <c r="Q22" i="67"/>
  <c r="S22" i="67"/>
  <c r="AB22" i="67" s="1"/>
  <c r="AC22" i="67" s="1"/>
  <c r="T22" i="67"/>
  <c r="U22" i="67"/>
  <c r="V22" i="67"/>
  <c r="W22" i="67"/>
  <c r="X22" i="67"/>
  <c r="Y22" i="67"/>
  <c r="Z22" i="67"/>
  <c r="AA22" i="67"/>
  <c r="AD22" i="67"/>
  <c r="K23" i="67"/>
  <c r="L23" i="67"/>
  <c r="O23" i="67"/>
  <c r="P23" i="67"/>
  <c r="Q23" i="67"/>
  <c r="S23" i="67"/>
  <c r="AB23" i="67" s="1"/>
  <c r="T23" i="67"/>
  <c r="U23" i="67"/>
  <c r="V23" i="67"/>
  <c r="W23" i="67"/>
  <c r="X23" i="67"/>
  <c r="Y23" i="67"/>
  <c r="Z23" i="67"/>
  <c r="AA23" i="67"/>
  <c r="AD23" i="67"/>
  <c r="K24" i="67"/>
  <c r="L24" i="67"/>
  <c r="O24" i="67"/>
  <c r="P24" i="67"/>
  <c r="Q24" i="67"/>
  <c r="S24" i="67"/>
  <c r="T24" i="67"/>
  <c r="U24" i="67"/>
  <c r="V24" i="67"/>
  <c r="W24" i="67"/>
  <c r="X24" i="67"/>
  <c r="Y24" i="67"/>
  <c r="Z24" i="67"/>
  <c r="AA24" i="67"/>
  <c r="AD24" i="67"/>
  <c r="O25" i="67"/>
  <c r="K26" i="67"/>
  <c r="L26" i="67"/>
  <c r="O26" i="67"/>
  <c r="P26" i="67"/>
  <c r="Q26" i="67"/>
  <c r="S26" i="67"/>
  <c r="AB26" i="67"/>
  <c r="AC26" i="67" s="1"/>
  <c r="T26" i="67"/>
  <c r="U26" i="67"/>
  <c r="V26" i="67"/>
  <c r="W26" i="67"/>
  <c r="X26" i="67"/>
  <c r="Y26" i="67"/>
  <c r="Z26" i="67"/>
  <c r="AA26" i="67"/>
  <c r="AD26" i="67"/>
  <c r="K27" i="67"/>
  <c r="L27" i="67"/>
  <c r="O27" i="67"/>
  <c r="P27" i="67"/>
  <c r="Q27" i="67"/>
  <c r="S27" i="67"/>
  <c r="AB27" i="67" s="1"/>
  <c r="T27" i="67"/>
  <c r="U27" i="67"/>
  <c r="V27" i="67"/>
  <c r="W27" i="67"/>
  <c r="X27" i="67"/>
  <c r="Y27" i="67"/>
  <c r="Z27" i="67"/>
  <c r="AA27" i="67"/>
  <c r="AD27" i="67"/>
  <c r="K28" i="67"/>
  <c r="L28" i="67"/>
  <c r="O28" i="67"/>
  <c r="P28" i="67"/>
  <c r="Q28" i="67"/>
  <c r="S28" i="67"/>
  <c r="T28" i="67"/>
  <c r="U28" i="67"/>
  <c r="V28" i="67"/>
  <c r="W28" i="67"/>
  <c r="X28" i="67"/>
  <c r="Y28" i="67"/>
  <c r="Z28" i="67"/>
  <c r="AA28" i="67"/>
  <c r="AD28" i="67"/>
  <c r="K29" i="67"/>
  <c r="L29" i="67"/>
  <c r="O29" i="67"/>
  <c r="P29" i="67"/>
  <c r="Q29" i="67"/>
  <c r="S29" i="67"/>
  <c r="AB29" i="67" s="1"/>
  <c r="T29" i="67"/>
  <c r="U29" i="67"/>
  <c r="V29" i="67"/>
  <c r="W29" i="67"/>
  <c r="X29" i="67"/>
  <c r="Y29" i="67"/>
  <c r="Z29" i="67"/>
  <c r="AA29" i="67"/>
  <c r="AD29" i="67"/>
  <c r="O30" i="67"/>
  <c r="K31" i="67"/>
  <c r="L31" i="67"/>
  <c r="O31" i="67"/>
  <c r="P31" i="67"/>
  <c r="Q31" i="67"/>
  <c r="S31" i="67"/>
  <c r="AB31" i="67"/>
  <c r="AC31" i="67"/>
  <c r="T31" i="67"/>
  <c r="U31" i="67"/>
  <c r="V31" i="67"/>
  <c r="W31" i="67"/>
  <c r="X31" i="67"/>
  <c r="Y31" i="67"/>
  <c r="Z31" i="67"/>
  <c r="AA31" i="67"/>
  <c r="AD31" i="67"/>
  <c r="K32" i="67"/>
  <c r="L32" i="67"/>
  <c r="O32" i="67"/>
  <c r="P32" i="67"/>
  <c r="Q32" i="67"/>
  <c r="S32" i="67"/>
  <c r="AB32" i="67"/>
  <c r="T32" i="67"/>
  <c r="U32" i="67"/>
  <c r="V32" i="67"/>
  <c r="W32" i="67"/>
  <c r="X32" i="67"/>
  <c r="Y32" i="67"/>
  <c r="Z32" i="67"/>
  <c r="AA32" i="67"/>
  <c r="AD32" i="67"/>
  <c r="O33" i="67"/>
  <c r="K34" i="67"/>
  <c r="L34" i="67"/>
  <c r="O34" i="67"/>
  <c r="P34" i="67"/>
  <c r="Q34" i="67"/>
  <c r="S34" i="67"/>
  <c r="T34" i="67"/>
  <c r="U34" i="67"/>
  <c r="V34" i="67"/>
  <c r="W34" i="67"/>
  <c r="X34" i="67"/>
  <c r="Y34" i="67"/>
  <c r="Z34" i="67"/>
  <c r="AA34" i="67"/>
  <c r="AD34" i="67"/>
  <c r="K35" i="67"/>
  <c r="L35" i="67"/>
  <c r="O35" i="67"/>
  <c r="P35" i="67"/>
  <c r="Q35" i="67"/>
  <c r="S35" i="67"/>
  <c r="AB35" i="67" s="1"/>
  <c r="AC35" i="67" s="1"/>
  <c r="T35" i="67"/>
  <c r="U35" i="67"/>
  <c r="V35" i="67"/>
  <c r="W35" i="67"/>
  <c r="X35" i="67"/>
  <c r="Y35" i="67"/>
  <c r="Z35" i="67"/>
  <c r="AA35" i="67"/>
  <c r="AD35" i="67"/>
  <c r="K36" i="67"/>
  <c r="L36" i="67"/>
  <c r="O36" i="67"/>
  <c r="P36" i="67"/>
  <c r="Q36" i="67"/>
  <c r="S36" i="67"/>
  <c r="AB36" i="67"/>
  <c r="AC36" i="67"/>
  <c r="T36" i="67"/>
  <c r="U36" i="67"/>
  <c r="V36" i="67"/>
  <c r="W36" i="67"/>
  <c r="X36" i="67"/>
  <c r="Y36" i="67"/>
  <c r="Z36" i="67"/>
  <c r="AA36" i="67"/>
  <c r="AD36" i="67"/>
  <c r="K37" i="67"/>
  <c r="L37" i="67"/>
  <c r="O37" i="67"/>
  <c r="P37" i="67"/>
  <c r="Q37" i="67"/>
  <c r="S37" i="67"/>
  <c r="AB37" i="67"/>
  <c r="T37" i="67"/>
  <c r="U37" i="67"/>
  <c r="V37" i="67"/>
  <c r="W37" i="67"/>
  <c r="X37" i="67"/>
  <c r="Y37" i="67"/>
  <c r="Z37" i="67"/>
  <c r="AA37" i="67"/>
  <c r="AD37" i="67"/>
  <c r="K38" i="67"/>
  <c r="L38" i="67"/>
  <c r="O38" i="67"/>
  <c r="P38" i="67"/>
  <c r="Q38" i="67"/>
  <c r="S38" i="67"/>
  <c r="AC38" i="67" s="1"/>
  <c r="AB38" i="67"/>
  <c r="T38" i="67"/>
  <c r="U38" i="67"/>
  <c r="V38" i="67"/>
  <c r="W38" i="67"/>
  <c r="X38" i="67"/>
  <c r="Y38" i="67"/>
  <c r="Z38" i="67"/>
  <c r="AA38" i="67"/>
  <c r="AD38" i="67"/>
  <c r="K39" i="67"/>
  <c r="L39" i="67"/>
  <c r="O39" i="67"/>
  <c r="P39" i="67"/>
  <c r="Q39" i="67"/>
  <c r="S39" i="67"/>
  <c r="T39" i="67"/>
  <c r="U39" i="67"/>
  <c r="V39" i="67"/>
  <c r="W39" i="67"/>
  <c r="X39" i="67"/>
  <c r="Y39" i="67"/>
  <c r="Z39" i="67"/>
  <c r="AA39" i="67"/>
  <c r="AD39" i="67"/>
  <c r="K40" i="67"/>
  <c r="L40" i="67"/>
  <c r="O40" i="67"/>
  <c r="P40" i="67"/>
  <c r="Q40" i="67"/>
  <c r="S40" i="67"/>
  <c r="AB40" i="67" s="1"/>
  <c r="AC40" i="67" s="1"/>
  <c r="T40" i="67"/>
  <c r="U40" i="67"/>
  <c r="V40" i="67"/>
  <c r="W40" i="67"/>
  <c r="X40" i="67"/>
  <c r="Y40" i="67"/>
  <c r="Z40" i="67"/>
  <c r="AA40" i="67"/>
  <c r="AD40" i="67"/>
  <c r="K41" i="67"/>
  <c r="L41" i="67"/>
  <c r="O41" i="67"/>
  <c r="P41" i="67"/>
  <c r="Q41" i="67"/>
  <c r="S41" i="67"/>
  <c r="AB41" i="67"/>
  <c r="T41" i="67"/>
  <c r="U41" i="67"/>
  <c r="V41" i="67"/>
  <c r="W41" i="67"/>
  <c r="X41" i="67"/>
  <c r="Y41" i="67"/>
  <c r="Z41" i="67"/>
  <c r="AA41" i="67"/>
  <c r="AD41" i="67"/>
  <c r="K42" i="67"/>
  <c r="L42" i="67"/>
  <c r="O42" i="67"/>
  <c r="P42" i="67"/>
  <c r="Q42" i="67"/>
  <c r="S42" i="67"/>
  <c r="AB42" i="67"/>
  <c r="AC42" i="67"/>
  <c r="T42" i="67"/>
  <c r="U42" i="67"/>
  <c r="V42" i="67"/>
  <c r="W42" i="67"/>
  <c r="X42" i="67"/>
  <c r="Y42" i="67"/>
  <c r="Z42" i="67"/>
  <c r="AA42" i="67"/>
  <c r="AD42" i="67"/>
  <c r="O43" i="67"/>
  <c r="K44" i="67"/>
  <c r="L44" i="67"/>
  <c r="O44" i="67"/>
  <c r="P44" i="67"/>
  <c r="Q44" i="67"/>
  <c r="S44" i="67"/>
  <c r="AB44" i="67" s="1"/>
  <c r="T44" i="67"/>
  <c r="U44" i="67"/>
  <c r="V44" i="67"/>
  <c r="W44" i="67"/>
  <c r="X44" i="67"/>
  <c r="Y44" i="67"/>
  <c r="Z44" i="67"/>
  <c r="AA44" i="67"/>
  <c r="AD44" i="67"/>
  <c r="K45" i="67"/>
  <c r="L45" i="67"/>
  <c r="O45" i="67"/>
  <c r="P45" i="67"/>
  <c r="Q45" i="67"/>
  <c r="S45" i="67"/>
  <c r="T45" i="67"/>
  <c r="U45" i="67"/>
  <c r="V45" i="67"/>
  <c r="W45" i="67"/>
  <c r="X45" i="67"/>
  <c r="Y45" i="67"/>
  <c r="Z45" i="67"/>
  <c r="AA45" i="67"/>
  <c r="AD45" i="67"/>
  <c r="K46" i="67"/>
  <c r="L46" i="67"/>
  <c r="O46" i="67"/>
  <c r="P46" i="67"/>
  <c r="Q46" i="67"/>
  <c r="S46" i="67"/>
  <c r="T46" i="67"/>
  <c r="U46" i="67"/>
  <c r="V46" i="67"/>
  <c r="W46" i="67"/>
  <c r="X46" i="67"/>
  <c r="Y46" i="67"/>
  <c r="Z46" i="67"/>
  <c r="AA46" i="67"/>
  <c r="AD46" i="67"/>
  <c r="K47" i="67"/>
  <c r="L47" i="67"/>
  <c r="O47" i="67"/>
  <c r="P47" i="67"/>
  <c r="Q47" i="67"/>
  <c r="S47" i="67"/>
  <c r="AB47" i="67" s="1"/>
  <c r="T47" i="67"/>
  <c r="U47" i="67"/>
  <c r="V47" i="67"/>
  <c r="W47" i="67"/>
  <c r="X47" i="67"/>
  <c r="Y47" i="67"/>
  <c r="Z47" i="67"/>
  <c r="AA47" i="67"/>
  <c r="AD47" i="67"/>
  <c r="K48" i="67"/>
  <c r="L48" i="67"/>
  <c r="O48" i="67"/>
  <c r="P48" i="67"/>
  <c r="Q48" i="67"/>
  <c r="S48" i="67"/>
  <c r="AB48" i="67" s="1"/>
  <c r="T48" i="67"/>
  <c r="U48" i="67"/>
  <c r="V48" i="67"/>
  <c r="W48" i="67"/>
  <c r="X48" i="67"/>
  <c r="Y48" i="67"/>
  <c r="Z48" i="67"/>
  <c r="AA48" i="67"/>
  <c r="AD48" i="67"/>
  <c r="K49" i="67"/>
  <c r="L49" i="67"/>
  <c r="O49" i="67"/>
  <c r="P49" i="67"/>
  <c r="Q49" i="67"/>
  <c r="S49" i="67"/>
  <c r="AB49" i="67" s="1"/>
  <c r="AC49" i="67" s="1"/>
  <c r="T49" i="67"/>
  <c r="U49" i="67"/>
  <c r="AE49" i="67" s="1"/>
  <c r="AF49" i="67" s="1"/>
  <c r="V49" i="67"/>
  <c r="W49" i="67"/>
  <c r="X49" i="67"/>
  <c r="Y49" i="67"/>
  <c r="Z49" i="67"/>
  <c r="AA49" i="67"/>
  <c r="AD49" i="67"/>
  <c r="O50" i="67"/>
  <c r="K51" i="67"/>
  <c r="L51" i="67"/>
  <c r="O51" i="67"/>
  <c r="P51" i="67"/>
  <c r="AE51" i="67" s="1"/>
  <c r="Q51" i="67"/>
  <c r="S51" i="67"/>
  <c r="T51" i="67"/>
  <c r="U51" i="67"/>
  <c r="V51" i="67"/>
  <c r="W51" i="67"/>
  <c r="X51" i="67"/>
  <c r="Y51" i="67"/>
  <c r="Z51" i="67"/>
  <c r="AA51" i="67"/>
  <c r="AB51" i="67"/>
  <c r="AC51" i="67"/>
  <c r="AD51" i="67"/>
  <c r="O52" i="67"/>
  <c r="K53" i="67"/>
  <c r="L53" i="67"/>
  <c r="O53" i="67"/>
  <c r="P53" i="67"/>
  <c r="Q53" i="67"/>
  <c r="S53" i="67"/>
  <c r="AB53" i="67" s="1"/>
  <c r="T53" i="67"/>
  <c r="U53" i="67"/>
  <c r="V53" i="67"/>
  <c r="W53" i="67"/>
  <c r="X53" i="67"/>
  <c r="Y53" i="67"/>
  <c r="Z53" i="67"/>
  <c r="AA53" i="67"/>
  <c r="AD53" i="67"/>
  <c r="K54" i="67"/>
  <c r="L54" i="67"/>
  <c r="O54" i="67"/>
  <c r="P54" i="67"/>
  <c r="Q54" i="67"/>
  <c r="S54" i="67"/>
  <c r="AB54" i="67" s="1"/>
  <c r="T54" i="67"/>
  <c r="U54" i="67"/>
  <c r="V54" i="67"/>
  <c r="W54" i="67"/>
  <c r="X54" i="67"/>
  <c r="Y54" i="67"/>
  <c r="Z54" i="67"/>
  <c r="AA54" i="67"/>
  <c r="AD54" i="67"/>
  <c r="O55" i="67"/>
  <c r="K56" i="67"/>
  <c r="L56" i="67"/>
  <c r="O56" i="67"/>
  <c r="P56" i="67"/>
  <c r="Q56" i="67"/>
  <c r="S56" i="67" s="1"/>
  <c r="T56" i="67"/>
  <c r="U56" i="67"/>
  <c r="V56" i="67"/>
  <c r="W56" i="67"/>
  <c r="X56" i="67"/>
  <c r="Y56" i="67"/>
  <c r="Z56" i="67"/>
  <c r="AA56" i="67"/>
  <c r="AD56" i="67"/>
  <c r="K57" i="67"/>
  <c r="L57" i="67"/>
  <c r="O57" i="67"/>
  <c r="P57" i="67"/>
  <c r="Q57" i="67"/>
  <c r="S57" i="67" s="1"/>
  <c r="AB57" i="67" s="1"/>
  <c r="T57" i="67"/>
  <c r="U57" i="67"/>
  <c r="V57" i="67"/>
  <c r="W57" i="67"/>
  <c r="X57" i="67"/>
  <c r="Y57" i="67"/>
  <c r="Z57" i="67"/>
  <c r="AA57" i="67"/>
  <c r="AD57" i="67"/>
  <c r="K58" i="67"/>
  <c r="L58" i="67"/>
  <c r="O58" i="67"/>
  <c r="P58" i="67"/>
  <c r="Q58" i="67"/>
  <c r="S58" i="67"/>
  <c r="T58" i="67"/>
  <c r="U58" i="67"/>
  <c r="V58" i="67"/>
  <c r="W58" i="67"/>
  <c r="X58" i="67"/>
  <c r="Y58" i="67"/>
  <c r="Z58" i="67"/>
  <c r="AA58" i="67"/>
  <c r="AD58" i="67"/>
  <c r="K59" i="67"/>
  <c r="L59" i="67"/>
  <c r="O59" i="67"/>
  <c r="P59" i="67"/>
  <c r="Q59" i="67"/>
  <c r="S59" i="67"/>
  <c r="T59" i="67"/>
  <c r="U59" i="67"/>
  <c r="V59" i="67"/>
  <c r="W59" i="67"/>
  <c r="X59" i="67"/>
  <c r="Y59" i="67"/>
  <c r="Z59" i="67"/>
  <c r="AA59" i="67"/>
  <c r="AD59" i="67"/>
  <c r="K60" i="67"/>
  <c r="L60" i="67"/>
  <c r="O60" i="67"/>
  <c r="P60" i="67"/>
  <c r="Q60" i="67"/>
  <c r="S60" i="67" s="1"/>
  <c r="AB60" i="67" s="1"/>
  <c r="T60" i="67"/>
  <c r="U60" i="67"/>
  <c r="V60" i="67"/>
  <c r="W60" i="67"/>
  <c r="X60" i="67"/>
  <c r="Y60" i="67"/>
  <c r="Z60" i="67"/>
  <c r="AA60" i="67"/>
  <c r="AD60" i="67"/>
  <c r="K61" i="67"/>
  <c r="L61" i="67"/>
  <c r="O61" i="67"/>
  <c r="P61" i="67"/>
  <c r="Q61" i="67"/>
  <c r="S61" i="67"/>
  <c r="AB61" i="67" s="1"/>
  <c r="AC61" i="67" s="1"/>
  <c r="T61" i="67"/>
  <c r="U61" i="67"/>
  <c r="V61" i="67"/>
  <c r="W61" i="67"/>
  <c r="X61" i="67"/>
  <c r="Y61" i="67"/>
  <c r="Z61" i="67"/>
  <c r="AA61" i="67"/>
  <c r="AD61" i="67"/>
  <c r="K62" i="67"/>
  <c r="L62" i="67"/>
  <c r="O62" i="67"/>
  <c r="P62" i="67"/>
  <c r="Q62" i="67"/>
  <c r="S62" i="67" s="1"/>
  <c r="AB62" i="67" s="1"/>
  <c r="T62" i="67"/>
  <c r="U62" i="67"/>
  <c r="V62" i="67"/>
  <c r="W62" i="67"/>
  <c r="X62" i="67"/>
  <c r="Y62" i="67"/>
  <c r="Z62" i="67"/>
  <c r="AA62" i="67"/>
  <c r="AD62" i="67"/>
  <c r="K63" i="67"/>
  <c r="L63" i="67"/>
  <c r="O63" i="67"/>
  <c r="P63" i="67"/>
  <c r="Q63" i="67"/>
  <c r="S63" i="67" s="1"/>
  <c r="T63" i="67"/>
  <c r="U63" i="67"/>
  <c r="V63" i="67"/>
  <c r="W63" i="67"/>
  <c r="X63" i="67"/>
  <c r="Y63" i="67"/>
  <c r="Z63" i="67"/>
  <c r="AA63" i="67"/>
  <c r="AD63" i="67"/>
  <c r="K64" i="67"/>
  <c r="L64" i="67"/>
  <c r="O64" i="67"/>
  <c r="P64" i="67"/>
  <c r="Q64" i="67"/>
  <c r="S64" i="67"/>
  <c r="T64" i="67"/>
  <c r="U64" i="67"/>
  <c r="V64" i="67"/>
  <c r="W64" i="67"/>
  <c r="X64" i="67"/>
  <c r="Y64" i="67"/>
  <c r="Z64" i="67"/>
  <c r="AA64" i="67"/>
  <c r="AD64" i="67"/>
  <c r="K65" i="67"/>
  <c r="L65" i="67"/>
  <c r="O65" i="67"/>
  <c r="P65" i="67"/>
  <c r="Q65" i="67"/>
  <c r="S65" i="67" s="1"/>
  <c r="T65" i="67"/>
  <c r="U65" i="67"/>
  <c r="V65" i="67"/>
  <c r="W65" i="67"/>
  <c r="X65" i="67"/>
  <c r="Y65" i="67"/>
  <c r="Z65" i="67"/>
  <c r="AA65" i="67"/>
  <c r="AD65" i="67"/>
  <c r="K66" i="67"/>
  <c r="L66" i="67"/>
  <c r="O66" i="67"/>
  <c r="P66" i="67"/>
  <c r="Q66" i="67"/>
  <c r="S66" i="67"/>
  <c r="T66" i="67"/>
  <c r="U66" i="67"/>
  <c r="V66" i="67"/>
  <c r="W66" i="67"/>
  <c r="X66" i="67"/>
  <c r="Y66" i="67"/>
  <c r="Z66" i="67"/>
  <c r="AA66" i="67"/>
  <c r="AD66" i="67"/>
  <c r="K67" i="67"/>
  <c r="L67" i="67"/>
  <c r="O67" i="67"/>
  <c r="P67" i="67"/>
  <c r="Q67" i="67"/>
  <c r="S67" i="67"/>
  <c r="T67" i="67"/>
  <c r="U67" i="67"/>
  <c r="V67" i="67"/>
  <c r="W67" i="67"/>
  <c r="X67" i="67"/>
  <c r="Y67" i="67"/>
  <c r="Z67" i="67"/>
  <c r="AA67" i="67"/>
  <c r="AD67" i="67"/>
  <c r="O68" i="67"/>
  <c r="K69" i="67"/>
  <c r="L69" i="67"/>
  <c r="O69" i="67"/>
  <c r="P69" i="67"/>
  <c r="Q69" i="67"/>
  <c r="S69" i="67"/>
  <c r="AB69" i="67"/>
  <c r="T69" i="67"/>
  <c r="U69" i="67"/>
  <c r="V69" i="67"/>
  <c r="W69" i="67"/>
  <c r="X69" i="67"/>
  <c r="Y69" i="67"/>
  <c r="Z69" i="67"/>
  <c r="AA69" i="67"/>
  <c r="AD69" i="67"/>
  <c r="K70" i="67"/>
  <c r="L70" i="67"/>
  <c r="O70" i="67"/>
  <c r="P70" i="67"/>
  <c r="Q70" i="67"/>
  <c r="S70" i="67"/>
  <c r="T70" i="67"/>
  <c r="U70" i="67"/>
  <c r="V70" i="67"/>
  <c r="W70" i="67"/>
  <c r="X70" i="67"/>
  <c r="Y70" i="67"/>
  <c r="Z70" i="67"/>
  <c r="AA70" i="67"/>
  <c r="AD70" i="67"/>
  <c r="O71" i="67"/>
  <c r="O72" i="67"/>
  <c r="K73" i="67"/>
  <c r="L73" i="67"/>
  <c r="O73" i="67"/>
  <c r="P73" i="67"/>
  <c r="Q73" i="67"/>
  <c r="S73" i="67"/>
  <c r="T73" i="67"/>
  <c r="U73" i="67"/>
  <c r="V73" i="67"/>
  <c r="W73" i="67"/>
  <c r="X73" i="67"/>
  <c r="Y73" i="67"/>
  <c r="Z73" i="67"/>
  <c r="AA73" i="67"/>
  <c r="AD73" i="67"/>
  <c r="K74" i="67"/>
  <c r="L74" i="67"/>
  <c r="O74" i="67"/>
  <c r="P74" i="67"/>
  <c r="Q74" i="67"/>
  <c r="S74" i="67"/>
  <c r="AB74" i="67" s="1"/>
  <c r="T74" i="67"/>
  <c r="U74" i="67"/>
  <c r="V74" i="67"/>
  <c r="W74" i="67"/>
  <c r="X74" i="67"/>
  <c r="Y74" i="67"/>
  <c r="Z74" i="67"/>
  <c r="AA74" i="67"/>
  <c r="AD74" i="67"/>
  <c r="K75" i="67"/>
  <c r="L75" i="67"/>
  <c r="O75" i="67"/>
  <c r="P75" i="67"/>
  <c r="Q75" i="67"/>
  <c r="S75" i="67"/>
  <c r="AB75" i="67" s="1"/>
  <c r="AC75" i="67" s="1"/>
  <c r="T75" i="67"/>
  <c r="U75" i="67"/>
  <c r="V75" i="67"/>
  <c r="W75" i="67"/>
  <c r="X75" i="67"/>
  <c r="Y75" i="67"/>
  <c r="Z75" i="67"/>
  <c r="AA75" i="67"/>
  <c r="AD75" i="67"/>
  <c r="K76" i="67"/>
  <c r="L76" i="67"/>
  <c r="O76" i="67"/>
  <c r="P76" i="67"/>
  <c r="Q76" i="67"/>
  <c r="S76" i="67"/>
  <c r="AB76" i="67"/>
  <c r="T76" i="67"/>
  <c r="U76" i="67"/>
  <c r="V76" i="67"/>
  <c r="W76" i="67"/>
  <c r="X76" i="67"/>
  <c r="Y76" i="67"/>
  <c r="Z76" i="67"/>
  <c r="AA76" i="67"/>
  <c r="AD76" i="67"/>
  <c r="O77" i="67"/>
  <c r="K78" i="67"/>
  <c r="L78" i="67"/>
  <c r="O78" i="67"/>
  <c r="P78" i="67"/>
  <c r="Q78" i="67"/>
  <c r="S78" i="67"/>
  <c r="T78" i="67"/>
  <c r="U78" i="67"/>
  <c r="V78" i="67"/>
  <c r="W78" i="67"/>
  <c r="X78" i="67"/>
  <c r="Y78" i="67"/>
  <c r="Z78" i="67"/>
  <c r="AA78" i="67"/>
  <c r="AD78" i="67"/>
  <c r="K79" i="67"/>
  <c r="L79" i="67"/>
  <c r="O79" i="67"/>
  <c r="P79" i="67"/>
  <c r="Q79" i="67"/>
  <c r="S79" i="67" s="1"/>
  <c r="AB79" i="67" s="1"/>
  <c r="T79" i="67"/>
  <c r="U79" i="67"/>
  <c r="V79" i="67"/>
  <c r="W79" i="67"/>
  <c r="X79" i="67"/>
  <c r="Y79" i="67"/>
  <c r="Z79" i="67"/>
  <c r="AA79" i="67"/>
  <c r="AD79" i="67"/>
  <c r="K80" i="67"/>
  <c r="L80" i="67"/>
  <c r="O80" i="67"/>
  <c r="P80" i="67"/>
  <c r="Q80" i="67"/>
  <c r="S80" i="67" s="1"/>
  <c r="T80" i="67"/>
  <c r="U80" i="67"/>
  <c r="V80" i="67"/>
  <c r="W80" i="67"/>
  <c r="X80" i="67"/>
  <c r="Y80" i="67"/>
  <c r="Z80" i="67"/>
  <c r="AA80" i="67"/>
  <c r="AD80" i="67"/>
  <c r="K81" i="67"/>
  <c r="L81" i="67"/>
  <c r="O81" i="67"/>
  <c r="P81" i="67"/>
  <c r="Q81" i="67"/>
  <c r="S81" i="67"/>
  <c r="T81" i="67"/>
  <c r="U81" i="67"/>
  <c r="V81" i="67"/>
  <c r="W81" i="67"/>
  <c r="X81" i="67"/>
  <c r="Y81" i="67"/>
  <c r="Z81" i="67"/>
  <c r="AA81" i="67"/>
  <c r="AD81" i="67"/>
  <c r="K82" i="67"/>
  <c r="L82" i="67"/>
  <c r="O82" i="67"/>
  <c r="P82" i="67"/>
  <c r="Q82" i="67"/>
  <c r="S82" i="67"/>
  <c r="AC82" i="67" s="1"/>
  <c r="AB82" i="67"/>
  <c r="T82" i="67"/>
  <c r="U82" i="67"/>
  <c r="V82" i="67"/>
  <c r="W82" i="67"/>
  <c r="X82" i="67"/>
  <c r="Y82" i="67"/>
  <c r="Z82" i="67"/>
  <c r="AA82" i="67"/>
  <c r="AD82" i="67"/>
  <c r="K83" i="67"/>
  <c r="L83" i="67"/>
  <c r="O83" i="67"/>
  <c r="P83" i="67"/>
  <c r="Q83" i="67"/>
  <c r="S83" i="67"/>
  <c r="T83" i="67"/>
  <c r="U83" i="67"/>
  <c r="V83" i="67"/>
  <c r="W83" i="67"/>
  <c r="X83" i="67"/>
  <c r="Y83" i="67"/>
  <c r="Z83" i="67"/>
  <c r="AA83" i="67"/>
  <c r="AD83" i="67"/>
  <c r="K84" i="67"/>
  <c r="L84" i="67"/>
  <c r="O84" i="67"/>
  <c r="P84" i="67"/>
  <c r="Q84" i="67"/>
  <c r="S84" i="67"/>
  <c r="T84" i="67"/>
  <c r="U84" i="67"/>
  <c r="V84" i="67"/>
  <c r="W84" i="67"/>
  <c r="X84" i="67"/>
  <c r="Y84" i="67"/>
  <c r="Z84" i="67"/>
  <c r="AA84" i="67"/>
  <c r="AD84" i="67"/>
  <c r="O85" i="67"/>
  <c r="O86" i="67"/>
  <c r="K87" i="67"/>
  <c r="L87" i="67"/>
  <c r="O87" i="67"/>
  <c r="P87" i="67"/>
  <c r="Q87" i="67"/>
  <c r="S87" i="67"/>
  <c r="AB87" i="67" s="1"/>
  <c r="T87" i="67"/>
  <c r="U87" i="67"/>
  <c r="V87" i="67"/>
  <c r="W87" i="67"/>
  <c r="X87" i="67"/>
  <c r="Y87" i="67"/>
  <c r="Z87" i="67"/>
  <c r="AA87" i="67"/>
  <c r="AD87" i="67"/>
  <c r="O88" i="67"/>
  <c r="K89" i="67"/>
  <c r="L89" i="67"/>
  <c r="O89" i="67"/>
  <c r="P89" i="67"/>
  <c r="Q89" i="67"/>
  <c r="S89" i="67" s="1"/>
  <c r="AB89" i="67" s="1"/>
  <c r="T89" i="67"/>
  <c r="U89" i="67"/>
  <c r="V89" i="67"/>
  <c r="W89" i="67"/>
  <c r="X89" i="67"/>
  <c r="Y89" i="67"/>
  <c r="Z89" i="67"/>
  <c r="AA89" i="67"/>
  <c r="AD89" i="67"/>
  <c r="O90" i="67"/>
  <c r="K91" i="67"/>
  <c r="L91" i="67"/>
  <c r="O91" i="67"/>
  <c r="P91" i="67"/>
  <c r="Q91" i="67"/>
  <c r="S91" i="67"/>
  <c r="AB91" i="67"/>
  <c r="AC91" i="67"/>
  <c r="T91" i="67"/>
  <c r="U91" i="67"/>
  <c r="V91" i="67"/>
  <c r="W91" i="67"/>
  <c r="X91" i="67"/>
  <c r="Y91" i="67"/>
  <c r="Z91" i="67"/>
  <c r="AA91" i="67"/>
  <c r="AD91" i="67"/>
  <c r="K92" i="67"/>
  <c r="L92" i="67"/>
  <c r="O92" i="67"/>
  <c r="P92" i="67"/>
  <c r="Q92" i="67"/>
  <c r="S92" i="67"/>
  <c r="AC92" i="67" s="1"/>
  <c r="AE92" i="67" s="1"/>
  <c r="AF92" i="67" s="1"/>
  <c r="AG92" i="67" s="1"/>
  <c r="AB92" i="67"/>
  <c r="T92" i="67"/>
  <c r="U92" i="67"/>
  <c r="V92" i="67"/>
  <c r="W92" i="67"/>
  <c r="X92" i="67"/>
  <c r="Y92" i="67"/>
  <c r="Z92" i="67"/>
  <c r="AA92" i="67"/>
  <c r="AD92" i="67"/>
  <c r="O93" i="67"/>
  <c r="O94" i="67"/>
  <c r="K95" i="67"/>
  <c r="L95" i="67"/>
  <c r="O95" i="67"/>
  <c r="P95" i="67"/>
  <c r="Q95" i="67"/>
  <c r="S95" i="67" s="1"/>
  <c r="T95" i="67"/>
  <c r="U95" i="67"/>
  <c r="V95" i="67"/>
  <c r="W95" i="67"/>
  <c r="X95" i="67"/>
  <c r="Y95" i="67"/>
  <c r="Z95" i="67"/>
  <c r="AA95" i="67"/>
  <c r="AD95" i="67"/>
  <c r="K96" i="67"/>
  <c r="L96" i="67"/>
  <c r="O96" i="67"/>
  <c r="P96" i="67"/>
  <c r="Q96" i="67"/>
  <c r="S96" i="67"/>
  <c r="AB96" i="67"/>
  <c r="T96" i="67"/>
  <c r="U96" i="67"/>
  <c r="V96" i="67"/>
  <c r="W96" i="67"/>
  <c r="X96" i="67"/>
  <c r="Y96" i="67"/>
  <c r="Z96" i="67"/>
  <c r="AA96" i="67"/>
  <c r="AD96" i="67"/>
  <c r="K97" i="67"/>
  <c r="L97" i="67"/>
  <c r="O97" i="67"/>
  <c r="P97" i="67"/>
  <c r="Q97" i="67"/>
  <c r="S97" i="67"/>
  <c r="T97" i="67"/>
  <c r="U97" i="67"/>
  <c r="V97" i="67"/>
  <c r="W97" i="67"/>
  <c r="X97" i="67"/>
  <c r="Y97" i="67"/>
  <c r="Z97" i="67"/>
  <c r="AA97" i="67"/>
  <c r="AD97" i="67"/>
  <c r="K98" i="67"/>
  <c r="L98" i="67"/>
  <c r="O98" i="67"/>
  <c r="P98" i="67"/>
  <c r="Q98" i="67"/>
  <c r="S98" i="67" s="1"/>
  <c r="T98" i="67"/>
  <c r="U98" i="67"/>
  <c r="V98" i="67"/>
  <c r="W98" i="67"/>
  <c r="X98" i="67"/>
  <c r="Y98" i="67"/>
  <c r="Z98" i="67"/>
  <c r="AA98" i="67"/>
  <c r="AD98" i="67"/>
  <c r="K99" i="67"/>
  <c r="L99" i="67"/>
  <c r="O99" i="67"/>
  <c r="P99" i="67"/>
  <c r="Q99" i="67"/>
  <c r="S99" i="67" s="1"/>
  <c r="T99" i="67"/>
  <c r="U99" i="67"/>
  <c r="V99" i="67"/>
  <c r="W99" i="67"/>
  <c r="X99" i="67"/>
  <c r="Y99" i="67"/>
  <c r="Z99" i="67"/>
  <c r="AA99" i="67"/>
  <c r="AD99" i="67"/>
  <c r="K102" i="67"/>
  <c r="L102" i="67"/>
  <c r="K103" i="67"/>
  <c r="L103" i="67"/>
  <c r="K104" i="67"/>
  <c r="L104" i="67"/>
  <c r="K105" i="67"/>
  <c r="L105" i="67"/>
  <c r="K106" i="67"/>
  <c r="L106" i="67"/>
  <c r="K107" i="67"/>
  <c r="L107" i="67"/>
  <c r="K108" i="67"/>
  <c r="L108" i="67"/>
  <c r="K109" i="67"/>
  <c r="L109" i="67"/>
  <c r="AC54" i="67"/>
  <c r="AE54" i="67" s="1"/>
  <c r="AF54" i="67" s="1"/>
  <c r="AG54" i="67" s="1"/>
  <c r="AE22" i="67"/>
  <c r="AF22" i="67" s="1"/>
  <c r="AG22" i="67" s="1"/>
  <c r="Y96" i="71"/>
  <c r="AB96" i="71" s="1"/>
  <c r="AC96" i="71"/>
  <c r="Y94" i="71"/>
  <c r="AB94" i="71" s="1"/>
  <c r="AC94" i="71"/>
  <c r="AD94" i="71"/>
  <c r="Y82" i="71"/>
  <c r="AB82" i="71" s="1"/>
  <c r="Y81" i="71"/>
  <c r="AB81" i="71" s="1"/>
  <c r="Y79" i="71"/>
  <c r="AB79" i="71" s="1"/>
  <c r="AC79" i="71"/>
  <c r="AD79" i="71" s="1"/>
  <c r="Y77" i="71"/>
  <c r="AB77" i="71"/>
  <c r="AC77" i="71"/>
  <c r="AD77" i="71" s="1"/>
  <c r="Y76" i="71"/>
  <c r="AB76" i="71"/>
  <c r="AC76" i="71"/>
  <c r="X74" i="71"/>
  <c r="Y74" i="71" s="1"/>
  <c r="AB74" i="71"/>
  <c r="Y73" i="71"/>
  <c r="X68" i="71"/>
  <c r="Y68" i="71" s="1"/>
  <c r="AB68" i="71" s="1"/>
  <c r="X67" i="71"/>
  <c r="AC89" i="67"/>
  <c r="AB84" i="67"/>
  <c r="AB83" i="67"/>
  <c r="AC83" i="67" s="1"/>
  <c r="AB81" i="67"/>
  <c r="AB80" i="67"/>
  <c r="AE75" i="67"/>
  <c r="AF75" i="67" s="1"/>
  <c r="AG75" i="67" s="1"/>
  <c r="AC69" i="67"/>
  <c r="AE69" i="67" s="1"/>
  <c r="AF69" i="67" s="1"/>
  <c r="AG69" i="67" s="1"/>
  <c r="AB66" i="67"/>
  <c r="AC66" i="67" s="1"/>
  <c r="AB65" i="67"/>
  <c r="AB63" i="67"/>
  <c r="AC60" i="67"/>
  <c r="AB58" i="67"/>
  <c r="AC58" i="67" s="1"/>
  <c r="AB56" i="67"/>
  <c r="AC56" i="67" s="1"/>
  <c r="AE56" i="67" s="1"/>
  <c r="AF56" i="67" s="1"/>
  <c r="AG56" i="67" s="1"/>
  <c r="AC48" i="67"/>
  <c r="AC44" i="67"/>
  <c r="AE44" i="67"/>
  <c r="AF44" i="67" s="1"/>
  <c r="AG44" i="67" s="1"/>
  <c r="AE31" i="67"/>
  <c r="AF31" i="67" s="1"/>
  <c r="AG31" i="67" s="1"/>
  <c r="AF21" i="67"/>
  <c r="AG21" i="67"/>
  <c r="AD106" i="71"/>
  <c r="AD104" i="71"/>
  <c r="AE104" i="71" s="1"/>
  <c r="AE102" i="71"/>
  <c r="AB75" i="71"/>
  <c r="AK75" i="71"/>
  <c r="X65" i="71"/>
  <c r="Y65" i="71" s="1"/>
  <c r="AB65" i="71" s="1"/>
  <c r="X64" i="71"/>
  <c r="X63" i="71"/>
  <c r="Y63" i="71" s="1"/>
  <c r="AB63" i="71" s="1"/>
  <c r="X62" i="71"/>
  <c r="AC62" i="71"/>
  <c r="X61" i="71"/>
  <c r="Y61" i="71"/>
  <c r="AB61" i="71" s="1"/>
  <c r="X60" i="71"/>
  <c r="X59" i="71"/>
  <c r="Y59" i="71"/>
  <c r="AB59" i="71" s="1"/>
  <c r="X58" i="71"/>
  <c r="AC58" i="71" s="1"/>
  <c r="AC96" i="67"/>
  <c r="AE96" i="67"/>
  <c r="AF96" i="67" s="1"/>
  <c r="AG96" i="67" s="1"/>
  <c r="AE91" i="67"/>
  <c r="AF91" i="67" s="1"/>
  <c r="AG91" i="67" s="1"/>
  <c r="AC87" i="67"/>
  <c r="AE82" i="67"/>
  <c r="AF82" i="67" s="1"/>
  <c r="AG82" i="67" s="1"/>
  <c r="AE61" i="67"/>
  <c r="AF61" i="67" s="1"/>
  <c r="AG61" i="67" s="1"/>
  <c r="AF51" i="67"/>
  <c r="AG51" i="67"/>
  <c r="AE42" i="67"/>
  <c r="AF42" i="67"/>
  <c r="AG42" i="67" s="1"/>
  <c r="AE40" i="67"/>
  <c r="AF40" i="67" s="1"/>
  <c r="AG40" i="67" s="1"/>
  <c r="AE38" i="67"/>
  <c r="AF38" i="67" s="1"/>
  <c r="AG38" i="67" s="1"/>
  <c r="AE36" i="67"/>
  <c r="AF36" i="67"/>
  <c r="AG36" i="67" s="1"/>
  <c r="AE35" i="67"/>
  <c r="AF35" i="67" s="1"/>
  <c r="AG35" i="67" s="1"/>
  <c r="AE26" i="67"/>
  <c r="AF26" i="67" s="1"/>
  <c r="AG26" i="67" s="1"/>
  <c r="AE16" i="67"/>
  <c r="AF16" i="67"/>
  <c r="AG16" i="67" s="1"/>
  <c r="AE14" i="67"/>
  <c r="AF14" i="67" s="1"/>
  <c r="AG14" i="67" s="1"/>
  <c r="U57" i="71"/>
  <c r="U56" i="71"/>
  <c r="X56" i="71" s="1"/>
  <c r="Y56" i="71" s="1"/>
  <c r="AB56" i="71" s="1"/>
  <c r="U55" i="71"/>
  <c r="U54" i="71"/>
  <c r="X54" i="71"/>
  <c r="L52" i="71"/>
  <c r="U52" i="71"/>
  <c r="X49" i="71"/>
  <c r="Y49" i="71"/>
  <c r="AB49" i="71" s="1"/>
  <c r="X40" i="71"/>
  <c r="X37" i="71"/>
  <c r="Y37" i="71"/>
  <c r="AB37" i="71" s="1"/>
  <c r="AC74" i="71"/>
  <c r="AD74" i="71" s="1"/>
  <c r="AE74" i="71" s="1"/>
  <c r="U72" i="71"/>
  <c r="U71" i="71"/>
  <c r="AC68" i="71"/>
  <c r="AD68" i="71" s="1"/>
  <c r="AE68" i="71" s="1"/>
  <c r="AC65" i="71"/>
  <c r="AD65" i="71" s="1"/>
  <c r="AE65" i="71" s="1"/>
  <c r="AC63" i="71"/>
  <c r="AC61" i="71"/>
  <c r="AD61" i="71"/>
  <c r="AE61" i="71" s="1"/>
  <c r="AF61" i="71" s="1"/>
  <c r="AC59" i="71"/>
  <c r="R57" i="71"/>
  <c r="R56" i="71"/>
  <c r="R55" i="71"/>
  <c r="R54" i="71"/>
  <c r="AC53" i="71"/>
  <c r="L35" i="71"/>
  <c r="U35" i="71"/>
  <c r="L33" i="71"/>
  <c r="U33" i="71"/>
  <c r="L32" i="71"/>
  <c r="U32" i="71"/>
  <c r="L27" i="71"/>
  <c r="U27" i="71"/>
  <c r="L26" i="71"/>
  <c r="U26" i="71"/>
  <c r="L25" i="71"/>
  <c r="U25" i="71"/>
  <c r="L24" i="71"/>
  <c r="U24" i="71"/>
  <c r="U22" i="71"/>
  <c r="U51" i="71"/>
  <c r="U47" i="71"/>
  <c r="U46" i="71"/>
  <c r="U45" i="71"/>
  <c r="X45" i="71"/>
  <c r="AC45" i="71" s="1"/>
  <c r="U44" i="71"/>
  <c r="U43" i="71"/>
  <c r="U42" i="71"/>
  <c r="U39" i="71"/>
  <c r="U38" i="71"/>
  <c r="U36" i="71"/>
  <c r="AC31" i="71"/>
  <c r="AC23" i="71"/>
  <c r="U34" i="71"/>
  <c r="L30" i="71"/>
  <c r="U30" i="71"/>
  <c r="X30" i="71" s="1"/>
  <c r="L29" i="71"/>
  <c r="U29" i="71"/>
  <c r="L21" i="71"/>
  <c r="U21" i="71"/>
  <c r="X21" i="71" s="1"/>
  <c r="L20" i="71"/>
  <c r="U20" i="71"/>
  <c r="X20" i="71" s="1"/>
  <c r="L19" i="71"/>
  <c r="U19" i="71"/>
  <c r="AC10" i="71"/>
  <c r="AD10" i="71"/>
  <c r="V17" i="71"/>
  <c r="V16" i="71"/>
  <c r="AC16" i="71" s="1"/>
  <c r="AD16" i="71" s="1"/>
  <c r="V15" i="71"/>
  <c r="V14" i="71"/>
  <c r="AC14" i="71"/>
  <c r="V13" i="71"/>
  <c r="V12" i="71"/>
  <c r="AE10" i="71"/>
  <c r="AF10" i="71" s="1"/>
  <c r="X19" i="71"/>
  <c r="AC19" i="71" s="1"/>
  <c r="X29" i="71"/>
  <c r="AC29" i="71" s="1"/>
  <c r="X71" i="71"/>
  <c r="AC71" i="71" s="1"/>
  <c r="AE73" i="71"/>
  <c r="AC37" i="71"/>
  <c r="AC49" i="71"/>
  <c r="AD49" i="71"/>
  <c r="AC60" i="71"/>
  <c r="AC64" i="71"/>
  <c r="AD64" i="71" s="1"/>
  <c r="AE64" i="71" s="1"/>
  <c r="AF64" i="71" s="1"/>
  <c r="AC57" i="67"/>
  <c r="AE57" i="67"/>
  <c r="AF57" i="67" s="1"/>
  <c r="AG57" i="67" s="1"/>
  <c r="AE58" i="67"/>
  <c r="AF58" i="67"/>
  <c r="AG58" i="67" s="1"/>
  <c r="AE60" i="67"/>
  <c r="AF60" i="67" s="1"/>
  <c r="AG60" i="67" s="1"/>
  <c r="AC62" i="67"/>
  <c r="AE62" i="67"/>
  <c r="AF62" i="67" s="1"/>
  <c r="AG62" i="67" s="1"/>
  <c r="AC65" i="67"/>
  <c r="AE65" i="67"/>
  <c r="AF65" i="67" s="1"/>
  <c r="AG65" i="67" s="1"/>
  <c r="AE66" i="67"/>
  <c r="AF66" i="67"/>
  <c r="AG66" i="67" s="1"/>
  <c r="AC79" i="67"/>
  <c r="AE79" i="67" s="1"/>
  <c r="AF79" i="67" s="1"/>
  <c r="AG79" i="67" s="1"/>
  <c r="AC81" i="67"/>
  <c r="AE81" i="67"/>
  <c r="AF81" i="67" s="1"/>
  <c r="AG81" i="67" s="1"/>
  <c r="AE83" i="67"/>
  <c r="AF83" i="67"/>
  <c r="AG83" i="67" s="1"/>
  <c r="AC84" i="67"/>
  <c r="AE84" i="67" s="1"/>
  <c r="AF84" i="67" s="1"/>
  <c r="AG84" i="67" s="1"/>
  <c r="X34" i="71"/>
  <c r="Y34" i="71" s="1"/>
  <c r="AB34" i="71"/>
  <c r="X38" i="71"/>
  <c r="X43" i="71"/>
  <c r="AC43" i="71"/>
  <c r="X47" i="71"/>
  <c r="AC47" i="71"/>
  <c r="AD47" i="71" s="1"/>
  <c r="X22" i="71"/>
  <c r="Y22" i="71" s="1"/>
  <c r="AB22" i="71"/>
  <c r="AD59" i="71"/>
  <c r="AE59" i="71"/>
  <c r="AF59" i="71" s="1"/>
  <c r="AK59" i="71" s="1"/>
  <c r="AD63" i="71"/>
  <c r="AE63" i="71"/>
  <c r="AF68" i="71"/>
  <c r="AK68" i="71" s="1"/>
  <c r="Y54" i="71"/>
  <c r="AB54" i="71"/>
  <c r="AC54" i="71"/>
  <c r="AE54" i="71" s="1"/>
  <c r="AF54" i="71" s="1"/>
  <c r="AD54" i="71"/>
  <c r="X55" i="71"/>
  <c r="AC56" i="71"/>
  <c r="AD56" i="71" s="1"/>
  <c r="X57" i="71"/>
  <c r="Y57" i="71" s="1"/>
  <c r="AB57" i="71"/>
  <c r="AD76" i="71"/>
  <c r="AE76" i="71"/>
  <c r="AF76" i="71" s="1"/>
  <c r="AK76" i="71" s="1"/>
  <c r="AE77" i="71"/>
  <c r="AF77" i="71"/>
  <c r="AK77" i="71" s="1"/>
  <c r="AE79" i="71"/>
  <c r="AF79" i="71" s="1"/>
  <c r="AK79" i="71" s="1"/>
  <c r="AE81" i="71"/>
  <c r="AD82" i="71"/>
  <c r="AE82" i="71" s="1"/>
  <c r="AE94" i="71"/>
  <c r="AF94" i="71" s="1"/>
  <c r="AK94" i="71"/>
  <c r="AD96" i="71"/>
  <c r="AE96" i="71"/>
  <c r="AF96" i="71" s="1"/>
  <c r="AK96" i="71" s="1"/>
  <c r="AF82" i="71"/>
  <c r="AK82" i="71" s="1"/>
  <c r="AF73" i="71"/>
  <c r="AG73" i="71" s="1"/>
  <c r="AF65" i="71"/>
  <c r="AK65" i="71" s="1"/>
  <c r="AF81" i="71"/>
  <c r="AK81" i="71" s="1"/>
  <c r="AK61" i="71"/>
  <c r="AD60" i="71"/>
  <c r="AE49" i="71"/>
  <c r="AF49" i="71" s="1"/>
  <c r="AK49" i="71" s="1"/>
  <c r="AD62" i="71"/>
  <c r="AD37" i="71"/>
  <c r="AE37" i="71"/>
  <c r="Y47" i="71"/>
  <c r="AB47" i="71"/>
  <c r="Y43" i="71"/>
  <c r="AB43" i="71"/>
  <c r="Y71" i="71"/>
  <c r="AB71" i="71"/>
  <c r="Y29" i="71"/>
  <c r="AB29" i="71"/>
  <c r="Y19" i="71"/>
  <c r="AB19" i="71"/>
  <c r="AG61" i="71"/>
  <c r="AH61" i="71"/>
  <c r="AI61" i="71" s="1"/>
  <c r="AJ61" i="71"/>
  <c r="AD14" i="71"/>
  <c r="AE14" i="71"/>
  <c r="AE16" i="71"/>
  <c r="AG54" i="71"/>
  <c r="AG74" i="71"/>
  <c r="AH74" i="71" s="1"/>
  <c r="AI74" i="71" s="1"/>
  <c r="AF74" i="71"/>
  <c r="AK74" i="71" s="1"/>
  <c r="AF63" i="71"/>
  <c r="AK63" i="71" s="1"/>
  <c r="AE45" i="71"/>
  <c r="AF45" i="71" s="1"/>
  <c r="AD45" i="71"/>
  <c r="AF102" i="71"/>
  <c r="AK102" i="71" s="1"/>
  <c r="AB73" i="71"/>
  <c r="AB99" i="67"/>
  <c r="AC99" i="67"/>
  <c r="AE99" i="67"/>
  <c r="AF99" i="67" s="1"/>
  <c r="AG99" i="67" s="1"/>
  <c r="AB98" i="67"/>
  <c r="AB97" i="67"/>
  <c r="AC97" i="67"/>
  <c r="X97" i="71"/>
  <c r="AC97" i="71" s="1"/>
  <c r="AE97" i="71" s="1"/>
  <c r="AD97" i="71"/>
  <c r="X95" i="71"/>
  <c r="AC95" i="71" s="1"/>
  <c r="AD95" i="71" s="1"/>
  <c r="AE95" i="71" s="1"/>
  <c r="X93" i="71"/>
  <c r="AC93" i="71" s="1"/>
  <c r="AD93" i="71"/>
  <c r="AE93" i="71" s="1"/>
  <c r="AG49" i="71"/>
  <c r="AG76" i="71"/>
  <c r="AH76" i="71" s="1"/>
  <c r="AI76" i="71" s="1"/>
  <c r="AG94" i="71"/>
  <c r="AG79" i="71"/>
  <c r="AH79" i="71"/>
  <c r="AI79" i="71" s="1"/>
  <c r="Y45" i="71"/>
  <c r="AB45" i="71" s="1"/>
  <c r="AB70" i="67"/>
  <c r="AC70" i="67" s="1"/>
  <c r="AE70" i="67" s="1"/>
  <c r="AF70" i="67" s="1"/>
  <c r="AG70" i="67" s="1"/>
  <c r="AB99" i="71"/>
  <c r="AC75" i="71"/>
  <c r="R74" i="71"/>
  <c r="R73" i="71"/>
  <c r="R68" i="71"/>
  <c r="R67" i="71"/>
  <c r="R65" i="71"/>
  <c r="R64" i="71"/>
  <c r="R63" i="71"/>
  <c r="R62" i="71"/>
  <c r="R61" i="71"/>
  <c r="R60" i="71"/>
  <c r="R59" i="71"/>
  <c r="R58" i="71"/>
  <c r="R49" i="71"/>
  <c r="X17" i="71"/>
  <c r="AC17" i="71" s="1"/>
  <c r="X15" i="71"/>
  <c r="AC15" i="71" s="1"/>
  <c r="Y16" i="71"/>
  <c r="AB16" i="71" s="1"/>
  <c r="Y14" i="71"/>
  <c r="AB14" i="71" s="1"/>
  <c r="U13" i="71"/>
  <c r="X13" i="71" s="1"/>
  <c r="AH94" i="71"/>
  <c r="AI94" i="71" s="1"/>
  <c r="AJ94" i="71"/>
  <c r="AH49" i="71"/>
  <c r="AI49" i="71" s="1"/>
  <c r="AJ49" i="71"/>
  <c r="Y93" i="71"/>
  <c r="AB93" i="71" s="1"/>
  <c r="Y95" i="71"/>
  <c r="AB95" i="71" s="1"/>
  <c r="Y97" i="71"/>
  <c r="AB97" i="71" s="1"/>
  <c r="AC98" i="67"/>
  <c r="AE98" i="67" s="1"/>
  <c r="AF98" i="67" s="1"/>
  <c r="AG98" i="67" s="1"/>
  <c r="AG102" i="71"/>
  <c r="AJ102" i="71" s="1"/>
  <c r="AG63" i="71"/>
  <c r="AG59" i="71"/>
  <c r="AH59" i="71"/>
  <c r="AI59" i="71" s="1"/>
  <c r="AH63" i="71"/>
  <c r="AI63" i="71" s="1"/>
  <c r="AJ63" i="71"/>
  <c r="AF16" i="71"/>
  <c r="AK16" i="71"/>
  <c r="AH54" i="71"/>
  <c r="AI54" i="71"/>
  <c r="AJ54" i="71"/>
  <c r="AF14" i="71"/>
  <c r="AK14" i="71" s="1"/>
  <c r="AJ73" i="71"/>
  <c r="AH73" i="71"/>
  <c r="AI73" i="71"/>
  <c r="X36" i="71"/>
  <c r="AC36" i="71"/>
  <c r="X39" i="71"/>
  <c r="AC39" i="71"/>
  <c r="X42" i="71"/>
  <c r="AC42" i="71"/>
  <c r="X44" i="71"/>
  <c r="AC44" i="71"/>
  <c r="X72" i="71"/>
  <c r="AC72" i="71"/>
  <c r="X52" i="71"/>
  <c r="AC52" i="71"/>
  <c r="Y67" i="71"/>
  <c r="AB67" i="71"/>
  <c r="AC67" i="71"/>
  <c r="AB67" i="67"/>
  <c r="AB59" i="67"/>
  <c r="AC41" i="67"/>
  <c r="AE41" i="67" s="1"/>
  <c r="AF41" i="67" s="1"/>
  <c r="AG41" i="67" s="1"/>
  <c r="AC37" i="67"/>
  <c r="AE37" i="67" s="1"/>
  <c r="AF37" i="67" s="1"/>
  <c r="AG37" i="67" s="1"/>
  <c r="AC29" i="67"/>
  <c r="AE29" i="67" s="1"/>
  <c r="AF29" i="67" s="1"/>
  <c r="AG29" i="67" s="1"/>
  <c r="AC19" i="67"/>
  <c r="AE19" i="67" s="1"/>
  <c r="AF19" i="67" s="1"/>
  <c r="AG19" i="67" s="1"/>
  <c r="AC15" i="67"/>
  <c r="AE15" i="67" s="1"/>
  <c r="AF15" i="67" s="1"/>
  <c r="AG15" i="67" s="1"/>
  <c r="X90" i="71"/>
  <c r="AC90" i="71" s="1"/>
  <c r="Y17" i="71"/>
  <c r="AB17" i="71" s="1"/>
  <c r="AE62" i="71"/>
  <c r="AE87" i="67"/>
  <c r="AF87" i="67" s="1"/>
  <c r="AG87" i="67" s="1"/>
  <c r="AC63" i="67"/>
  <c r="AE63" i="67"/>
  <c r="AF63" i="67" s="1"/>
  <c r="AG63" i="67" s="1"/>
  <c r="Y64" i="71"/>
  <c r="Y62" i="71"/>
  <c r="AB62" i="71" s="1"/>
  <c r="Y60" i="71"/>
  <c r="AB60" i="71" s="1"/>
  <c r="Y58" i="71"/>
  <c r="AB58" i="71" s="1"/>
  <c r="X46" i="71"/>
  <c r="AC46" i="71"/>
  <c r="X51" i="71"/>
  <c r="AC51" i="71"/>
  <c r="AD51" i="71" s="1"/>
  <c r="AE51" i="71" s="1"/>
  <c r="X24" i="71"/>
  <c r="AC24" i="71"/>
  <c r="X25" i="71"/>
  <c r="AC25" i="71"/>
  <c r="AE25" i="71" s="1"/>
  <c r="X26" i="71"/>
  <c r="AC26" i="71"/>
  <c r="X27" i="71"/>
  <c r="AC27" i="71"/>
  <c r="AD27" i="71" s="1"/>
  <c r="AE27" i="71" s="1"/>
  <c r="X32" i="71"/>
  <c r="AC32" i="71"/>
  <c r="X33" i="71"/>
  <c r="AC33" i="71"/>
  <c r="AE33" i="71" s="1"/>
  <c r="X35" i="71"/>
  <c r="AC35" i="71"/>
  <c r="Y40" i="71"/>
  <c r="AB40" i="71"/>
  <c r="AC40" i="71"/>
  <c r="AJ59" i="71"/>
  <c r="AJ76" i="71"/>
  <c r="AJ79" i="71"/>
  <c r="AJ74" i="71"/>
  <c r="AK73" i="71"/>
  <c r="AK54" i="71"/>
  <c r="AG64" i="71"/>
  <c r="AG68" i="71"/>
  <c r="AJ68" i="71" s="1"/>
  <c r="AG81" i="71"/>
  <c r="AG82" i="71"/>
  <c r="AE56" i="71"/>
  <c r="AE47" i="71"/>
  <c r="AE60" i="71"/>
  <c r="AB78" i="67"/>
  <c r="AC76" i="67"/>
  <c r="AE76" i="67" s="1"/>
  <c r="AF76" i="67" s="1"/>
  <c r="AG76" i="67" s="1"/>
  <c r="AC74" i="67"/>
  <c r="AE74" i="67" s="1"/>
  <c r="AF74" i="67" s="1"/>
  <c r="AG74" i="67" s="1"/>
  <c r="AC47" i="67"/>
  <c r="AE47" i="67" s="1"/>
  <c r="AF47" i="67" s="1"/>
  <c r="AG47" i="67" s="1"/>
  <c r="AC32" i="67"/>
  <c r="AE32" i="67" s="1"/>
  <c r="AF32" i="67" s="1"/>
  <c r="AG32" i="67" s="1"/>
  <c r="AD107" i="71"/>
  <c r="AE107" i="71" s="1"/>
  <c r="AD105" i="71"/>
  <c r="AE105" i="71" s="1"/>
  <c r="AD103" i="71"/>
  <c r="AE103" i="71" s="1"/>
  <c r="R95" i="71"/>
  <c r="U80" i="71"/>
  <c r="R17" i="71"/>
  <c r="AG60" i="71"/>
  <c r="AF60" i="71"/>
  <c r="AK60" i="71"/>
  <c r="AF47" i="71"/>
  <c r="AK47" i="71"/>
  <c r="AF56" i="71"/>
  <c r="AG56" i="71" s="1"/>
  <c r="AH82" i="71"/>
  <c r="AI82" i="71" s="1"/>
  <c r="AJ82" i="71"/>
  <c r="AD35" i="71"/>
  <c r="AE35" i="71" s="1"/>
  <c r="AF35" i="71" s="1"/>
  <c r="AK35" i="71" s="1"/>
  <c r="AD33" i="71"/>
  <c r="AD32" i="71"/>
  <c r="AE32" i="71"/>
  <c r="AF32" i="71" s="1"/>
  <c r="AD26" i="71"/>
  <c r="AE26" i="71"/>
  <c r="AG26" i="71" s="1"/>
  <c r="AJ26" i="71" s="1"/>
  <c r="AD25" i="71"/>
  <c r="AD24" i="71"/>
  <c r="AE24" i="71"/>
  <c r="AF24" i="71" s="1"/>
  <c r="AK24" i="71" s="1"/>
  <c r="AD46" i="71"/>
  <c r="AE46" i="71"/>
  <c r="AB64" i="71"/>
  <c r="AK64" i="71"/>
  <c r="AF62" i="71"/>
  <c r="AK62" i="71" s="1"/>
  <c r="AD52" i="71"/>
  <c r="AE52" i="71" s="1"/>
  <c r="AE72" i="71"/>
  <c r="AD72" i="71"/>
  <c r="AD44" i="71"/>
  <c r="AE44" i="71" s="1"/>
  <c r="AD42" i="71"/>
  <c r="AE42" i="71" s="1"/>
  <c r="AF42" i="71" s="1"/>
  <c r="AK42" i="71" s="1"/>
  <c r="AD39" i="71"/>
  <c r="AE39" i="71" s="1"/>
  <c r="AF39" i="71" s="1"/>
  <c r="AK39" i="71" s="1"/>
  <c r="AD36" i="71"/>
  <c r="AE36" i="71" s="1"/>
  <c r="AC78" i="67"/>
  <c r="AE78" i="67" s="1"/>
  <c r="AF78" i="67" s="1"/>
  <c r="AG78" i="67" s="1"/>
  <c r="X80" i="71"/>
  <c r="AC80" i="71"/>
  <c r="AD80" i="71" s="1"/>
  <c r="AE80" i="71" s="1"/>
  <c r="AF80" i="71" s="1"/>
  <c r="AH81" i="71"/>
  <c r="AI81" i="71" s="1"/>
  <c r="AJ81" i="71"/>
  <c r="AH68" i="71"/>
  <c r="AI68" i="71" s="1"/>
  <c r="AH64" i="71"/>
  <c r="AI64" i="71" s="1"/>
  <c r="AJ64" i="71"/>
  <c r="AD40" i="71"/>
  <c r="AE40" i="71" s="1"/>
  <c r="AD67" i="71"/>
  <c r="AE67" i="71" s="1"/>
  <c r="AF67" i="71" s="1"/>
  <c r="AK67" i="71" s="1"/>
  <c r="Y35" i="71"/>
  <c r="AB35" i="71" s="1"/>
  <c r="Y33" i="71"/>
  <c r="AB33" i="71" s="1"/>
  <c r="Y32" i="71"/>
  <c r="AB32" i="71" s="1"/>
  <c r="Y27" i="71"/>
  <c r="AB27" i="71" s="1"/>
  <c r="Y26" i="71"/>
  <c r="AB26" i="71" s="1"/>
  <c r="Y25" i="71"/>
  <c r="AB25" i="71" s="1"/>
  <c r="Y24" i="71"/>
  <c r="AB24" i="71" s="1"/>
  <c r="Y51" i="71"/>
  <c r="AB51" i="71" s="1"/>
  <c r="Y46" i="71"/>
  <c r="AB46" i="71" s="1"/>
  <c r="Y90" i="71"/>
  <c r="AB90" i="71" s="1"/>
  <c r="AC59" i="67"/>
  <c r="AE59" i="67" s="1"/>
  <c r="AF59" i="67" s="1"/>
  <c r="AG59" i="67" s="1"/>
  <c r="AC67" i="67"/>
  <c r="AE67" i="67" s="1"/>
  <c r="AF67" i="67" s="1"/>
  <c r="AG67" i="67" s="1"/>
  <c r="Y52" i="71"/>
  <c r="AB52" i="71" s="1"/>
  <c r="Y72" i="71"/>
  <c r="AB72" i="71" s="1"/>
  <c r="Y44" i="71"/>
  <c r="AB44" i="71" s="1"/>
  <c r="Y42" i="71"/>
  <c r="AB42" i="71" s="1"/>
  <c r="Y39" i="71"/>
  <c r="AB39" i="71" s="1"/>
  <c r="Y36" i="71"/>
  <c r="AB36" i="71" s="1"/>
  <c r="AG14" i="71"/>
  <c r="AH14" i="71" s="1"/>
  <c r="AI14" i="71" s="1"/>
  <c r="AG16" i="71"/>
  <c r="AF46" i="71"/>
  <c r="AK46" i="71"/>
  <c r="AF26" i="71"/>
  <c r="AK26" i="71" s="1"/>
  <c r="AF72" i="71"/>
  <c r="AK72" i="71" s="1"/>
  <c r="AJ60" i="71"/>
  <c r="AH60" i="71"/>
  <c r="AI60" i="71" s="1"/>
  <c r="AH16" i="71"/>
  <c r="AI16" i="71" s="1"/>
  <c r="AJ16" i="71"/>
  <c r="Y80" i="71"/>
  <c r="AB80" i="71"/>
  <c r="AG47" i="71"/>
  <c r="AK80" i="71"/>
  <c r="AH26" i="71"/>
  <c r="AI26" i="71" s="1"/>
  <c r="AJ47" i="71"/>
  <c r="AH47" i="71"/>
  <c r="AI47" i="71"/>
  <c r="AG35" i="71"/>
  <c r="AG72" i="71"/>
  <c r="AG42" i="71"/>
  <c r="AH42" i="71" s="1"/>
  <c r="AI42" i="71" s="1"/>
  <c r="AG67" i="71"/>
  <c r="AG24" i="71"/>
  <c r="AH24" i="71" s="1"/>
  <c r="AI24" i="71" s="1"/>
  <c r="AG46" i="71"/>
  <c r="AJ42" i="71"/>
  <c r="AH35" i="71"/>
  <c r="AI35" i="71" s="1"/>
  <c r="AJ35" i="71"/>
  <c r="AJ46" i="71"/>
  <c r="AH46" i="71"/>
  <c r="AI46" i="71"/>
  <c r="AG80" i="71" l="1"/>
  <c r="AG39" i="71"/>
  <c r="AJ67" i="71"/>
  <c r="AH67" i="71"/>
  <c r="AI67" i="71" s="1"/>
  <c r="AG52" i="71"/>
  <c r="AF52" i="71"/>
  <c r="AK52" i="71" s="1"/>
  <c r="AG107" i="71"/>
  <c r="AF107" i="71"/>
  <c r="AK107" i="71" s="1"/>
  <c r="AG33" i="71"/>
  <c r="AF33" i="71"/>
  <c r="AK33" i="71" s="1"/>
  <c r="AG27" i="71"/>
  <c r="AF27" i="71"/>
  <c r="AK27" i="71" s="1"/>
  <c r="AF25" i="71"/>
  <c r="AK25" i="71" s="1"/>
  <c r="AF51" i="71"/>
  <c r="AK51" i="71" s="1"/>
  <c r="AF95" i="71"/>
  <c r="AK95" i="71" s="1"/>
  <c r="AK45" i="71"/>
  <c r="AG45" i="71"/>
  <c r="AJ24" i="71"/>
  <c r="AF40" i="71"/>
  <c r="AK40" i="71" s="1"/>
  <c r="AF44" i="71"/>
  <c r="AK44" i="71" s="1"/>
  <c r="AJ56" i="71"/>
  <c r="AH56" i="71"/>
  <c r="AI56" i="71" s="1"/>
  <c r="AD90" i="71"/>
  <c r="AE90" i="71" s="1"/>
  <c r="AF36" i="71"/>
  <c r="AK36" i="71" s="1"/>
  <c r="AG36" i="71"/>
  <c r="AF103" i="71"/>
  <c r="AK103" i="71" s="1"/>
  <c r="AG103" i="71"/>
  <c r="AD15" i="71"/>
  <c r="AE15" i="71"/>
  <c r="AF93" i="71"/>
  <c r="AK93" i="71" s="1"/>
  <c r="AG93" i="71"/>
  <c r="AF97" i="71"/>
  <c r="AK97" i="71" s="1"/>
  <c r="AG97" i="71"/>
  <c r="AH72" i="71"/>
  <c r="AI72" i="71" s="1"/>
  <c r="AJ72" i="71"/>
  <c r="AK32" i="71"/>
  <c r="AG32" i="71"/>
  <c r="AF105" i="71"/>
  <c r="AK105" i="71" s="1"/>
  <c r="AC13" i="71"/>
  <c r="Y13" i="71"/>
  <c r="AB13" i="71" s="1"/>
  <c r="AD17" i="71"/>
  <c r="AE17" i="71" s="1"/>
  <c r="AC55" i="71"/>
  <c r="Y55" i="71"/>
  <c r="AB55" i="71" s="1"/>
  <c r="Y38" i="71"/>
  <c r="AB38" i="71" s="1"/>
  <c r="AC38" i="71"/>
  <c r="AD29" i="71"/>
  <c r="AE29" i="71"/>
  <c r="AC21" i="71"/>
  <c r="Y21" i="71"/>
  <c r="AB21" i="71" s="1"/>
  <c r="Y30" i="71"/>
  <c r="AB30" i="71" s="1"/>
  <c r="AC30" i="71"/>
  <c r="AG65" i="71"/>
  <c r="AD58" i="71"/>
  <c r="AE58" i="71" s="1"/>
  <c r="AJ14" i="71"/>
  <c r="AG62" i="71"/>
  <c r="AK56" i="71"/>
  <c r="AH102" i="71"/>
  <c r="AE97" i="67"/>
  <c r="AF97" i="67" s="1"/>
  <c r="AG97" i="67" s="1"/>
  <c r="AD19" i="71"/>
  <c r="AE19" i="71"/>
  <c r="Y15" i="71"/>
  <c r="AB15" i="71" s="1"/>
  <c r="AD43" i="71"/>
  <c r="AE43" i="71" s="1"/>
  <c r="AG10" i="71"/>
  <c r="AC20" i="71"/>
  <c r="Y20" i="71"/>
  <c r="AB20" i="71" s="1"/>
  <c r="AF104" i="71"/>
  <c r="AK104" i="71" s="1"/>
  <c r="AG77" i="71"/>
  <c r="AF37" i="71"/>
  <c r="AK37" i="71" s="1"/>
  <c r="AD71" i="71"/>
  <c r="AE71" i="71"/>
  <c r="AC80" i="67"/>
  <c r="AE80" i="67" s="1"/>
  <c r="AF80" i="67" s="1"/>
  <c r="AG80" i="67" s="1"/>
  <c r="AE12" i="67"/>
  <c r="AF12" i="67" s="1"/>
  <c r="AG12" i="67" s="1"/>
  <c r="AG96" i="71"/>
  <c r="AC57" i="71"/>
  <c r="AC22" i="71"/>
  <c r="AC34" i="71"/>
  <c r="AB95" i="67"/>
  <c r="AC95" i="67"/>
  <c r="AC53" i="67"/>
  <c r="AE53" i="67" s="1"/>
  <c r="AF53" i="67" s="1"/>
  <c r="AG53" i="67" s="1"/>
  <c r="AE106" i="71"/>
  <c r="AE48" i="67"/>
  <c r="AF48" i="67" s="1"/>
  <c r="AG48" i="67" s="1"/>
  <c r="AC28" i="67"/>
  <c r="AD99" i="71"/>
  <c r="AE99" i="71" s="1"/>
  <c r="AE89" i="67"/>
  <c r="AF89" i="67" s="1"/>
  <c r="AG89" i="67" s="1"/>
  <c r="AG49" i="67"/>
  <c r="AB73" i="67"/>
  <c r="AB64" i="67"/>
  <c r="AB46" i="67"/>
  <c r="AB45" i="67"/>
  <c r="AC45" i="67" s="1"/>
  <c r="AB39" i="67"/>
  <c r="AB34" i="67"/>
  <c r="AC34" i="67" s="1"/>
  <c r="AB28" i="67"/>
  <c r="AC27" i="67"/>
  <c r="AE27" i="67" s="1"/>
  <c r="AF27" i="67" s="1"/>
  <c r="AG27" i="67" s="1"/>
  <c r="AB24" i="67"/>
  <c r="AC23" i="67"/>
  <c r="AE23" i="67" s="1"/>
  <c r="AF23" i="67" s="1"/>
  <c r="AG23" i="67" s="1"/>
  <c r="AB18" i="67"/>
  <c r="AC18" i="67" s="1"/>
  <c r="AC17" i="67"/>
  <c r="AE17" i="67" s="1"/>
  <c r="AF17" i="67" s="1"/>
  <c r="AG17" i="67" s="1"/>
  <c r="AC12" i="67"/>
  <c r="L99" i="71"/>
  <c r="L97" i="71"/>
  <c r="L96" i="71"/>
  <c r="L94" i="71"/>
  <c r="U89" i="71"/>
  <c r="R89" i="71"/>
  <c r="L80" i="71"/>
  <c r="R80" i="71"/>
  <c r="U78" i="71"/>
  <c r="R78" i="71"/>
  <c r="Q95" i="71"/>
  <c r="Q93" i="71"/>
  <c r="U87" i="71"/>
  <c r="R87" i="71"/>
  <c r="Y92" i="71"/>
  <c r="U85" i="71"/>
  <c r="R93" i="71"/>
  <c r="R90" i="71"/>
  <c r="R72" i="71"/>
  <c r="R46" i="71"/>
  <c r="R42" i="71"/>
  <c r="AC41" i="71"/>
  <c r="U12" i="71"/>
  <c r="Y10" i="71"/>
  <c r="AB10" i="71" s="1"/>
  <c r="L40" i="71"/>
  <c r="R37" i="71"/>
  <c r="AG58" i="71" l="1"/>
  <c r="AF58" i="71"/>
  <c r="AK58" i="71" s="1"/>
  <c r="AG17" i="71"/>
  <c r="AF17" i="71"/>
  <c r="AK17" i="71" s="1"/>
  <c r="AF99" i="71"/>
  <c r="AK99" i="71" s="1"/>
  <c r="AF90" i="71"/>
  <c r="AK90" i="71" s="1"/>
  <c r="AF43" i="71"/>
  <c r="AK43" i="71" s="1"/>
  <c r="X87" i="71"/>
  <c r="AC87" i="71" s="1"/>
  <c r="X85" i="71"/>
  <c r="AC85" i="71" s="1"/>
  <c r="Y85" i="71"/>
  <c r="AB85" i="71" s="1"/>
  <c r="AE73" i="67"/>
  <c r="AF73" i="67" s="1"/>
  <c r="AG73" i="67" s="1"/>
  <c r="AC64" i="67"/>
  <c r="AE64" i="67" s="1"/>
  <c r="AF64" i="67" s="1"/>
  <c r="AG64" i="67" s="1"/>
  <c r="AC73" i="67"/>
  <c r="AE45" i="67"/>
  <c r="AF45" i="67" s="1"/>
  <c r="AG45" i="67" s="1"/>
  <c r="AE95" i="67"/>
  <c r="AF95" i="67" s="1"/>
  <c r="AG95" i="67" s="1"/>
  <c r="AH96" i="71"/>
  <c r="AI96" i="71" s="1"/>
  <c r="AJ96" i="71"/>
  <c r="AG37" i="71"/>
  <c r="AJ62" i="71"/>
  <c r="AH62" i="71"/>
  <c r="AI62" i="71" s="1"/>
  <c r="AJ65" i="71"/>
  <c r="AH65" i="71"/>
  <c r="AI65" i="71" s="1"/>
  <c r="AD21" i="71"/>
  <c r="AE21" i="71"/>
  <c r="AG105" i="71"/>
  <c r="AG44" i="71"/>
  <c r="AJ45" i="71"/>
  <c r="AH45" i="71"/>
  <c r="AI45" i="71" s="1"/>
  <c r="AG51" i="71"/>
  <c r="AF106" i="71"/>
  <c r="AK106" i="71" s="1"/>
  <c r="AE34" i="71"/>
  <c r="AD34" i="71"/>
  <c r="AF71" i="71"/>
  <c r="AK71" i="71" s="1"/>
  <c r="AJ77" i="71"/>
  <c r="AH77" i="71"/>
  <c r="AI77" i="71" s="1"/>
  <c r="AE20" i="71"/>
  <c r="AD20" i="71"/>
  <c r="AE30" i="71"/>
  <c r="AD30" i="71"/>
  <c r="AF29" i="71"/>
  <c r="AK29" i="71" s="1"/>
  <c r="AJ32" i="71"/>
  <c r="AH32" i="71"/>
  <c r="AI32" i="71" s="1"/>
  <c r="AH97" i="71"/>
  <c r="AI97" i="71" s="1"/>
  <c r="AJ97" i="71"/>
  <c r="AG15" i="71"/>
  <c r="AF15" i="71"/>
  <c r="AK15" i="71" s="1"/>
  <c r="AH36" i="71"/>
  <c r="AI36" i="71" s="1"/>
  <c r="AJ36" i="71"/>
  <c r="AJ27" i="71"/>
  <c r="AH27" i="71"/>
  <c r="AI27" i="71" s="1"/>
  <c r="AH107" i="71"/>
  <c r="AJ107" i="71"/>
  <c r="AE18" i="67"/>
  <c r="AF18" i="67" s="1"/>
  <c r="AG18" i="67" s="1"/>
  <c r="AE28" i="67"/>
  <c r="AF28" i="67" s="1"/>
  <c r="AG28" i="67" s="1"/>
  <c r="AE46" i="67"/>
  <c r="AF46" i="67" s="1"/>
  <c r="AG46" i="67" s="1"/>
  <c r="AC39" i="67"/>
  <c r="AE39" i="67" s="1"/>
  <c r="AF39" i="67" s="1"/>
  <c r="AG39" i="67" s="1"/>
  <c r="AC24" i="67"/>
  <c r="AE24" i="67" s="1"/>
  <c r="AF24" i="67" s="1"/>
  <c r="AG24" i="67" s="1"/>
  <c r="AD22" i="71"/>
  <c r="AE22" i="71"/>
  <c r="AC46" i="67"/>
  <c r="AG104" i="71"/>
  <c r="AK10" i="71"/>
  <c r="AE55" i="71"/>
  <c r="AD55" i="71"/>
  <c r="AE13" i="71"/>
  <c r="AD13" i="71"/>
  <c r="AG40" i="71"/>
  <c r="AG95" i="71"/>
  <c r="AG25" i="71"/>
  <c r="AJ39" i="71"/>
  <c r="AH39" i="71"/>
  <c r="AI39" i="71" s="1"/>
  <c r="X12" i="71"/>
  <c r="AC12" i="71" s="1"/>
  <c r="Y12" i="71"/>
  <c r="AB12" i="71" s="1"/>
  <c r="X78" i="71"/>
  <c r="AC78" i="71" s="1"/>
  <c r="Y78" i="71"/>
  <c r="AB78" i="71" s="1"/>
  <c r="X89" i="71"/>
  <c r="AC89" i="71" s="1"/>
  <c r="Y89" i="71"/>
  <c r="AB89" i="71" s="1"/>
  <c r="AE34" i="67"/>
  <c r="AF34" i="67" s="1"/>
  <c r="AG34" i="67" s="1"/>
  <c r="AD57" i="71"/>
  <c r="AE57" i="71" s="1"/>
  <c r="AJ10" i="71"/>
  <c r="AH10" i="71"/>
  <c r="AI10" i="71" s="1"/>
  <c r="AF19" i="71"/>
  <c r="AK19" i="71" s="1"/>
  <c r="AD38" i="71"/>
  <c r="AE38" i="71" s="1"/>
  <c r="AJ93" i="71"/>
  <c r="AH93" i="71"/>
  <c r="AI93" i="71" s="1"/>
  <c r="AH103" i="71"/>
  <c r="AJ103" i="71"/>
  <c r="AH33" i="71"/>
  <c r="AI33" i="71" s="1"/>
  <c r="AJ33" i="71"/>
  <c r="AJ52" i="71"/>
  <c r="AH52" i="71"/>
  <c r="AI52" i="71" s="1"/>
  <c r="AH80" i="71"/>
  <c r="AI80" i="71" s="1"/>
  <c r="AJ80" i="71"/>
  <c r="AF38" i="71" l="1"/>
  <c r="AK38" i="71" s="1"/>
  <c r="AG57" i="71"/>
  <c r="AF57" i="71"/>
  <c r="AK57" i="71" s="1"/>
  <c r="AE78" i="71"/>
  <c r="AD78" i="71"/>
  <c r="AH51" i="71"/>
  <c r="AI51" i="71" s="1"/>
  <c r="AJ51" i="71"/>
  <c r="AH105" i="71"/>
  <c r="AJ105" i="71"/>
  <c r="Y87" i="71"/>
  <c r="AB87" i="71" s="1"/>
  <c r="AG90" i="71"/>
  <c r="AF13" i="71"/>
  <c r="AK13" i="71" s="1"/>
  <c r="AH104" i="71"/>
  <c r="AJ104" i="71"/>
  <c r="AJ15" i="71"/>
  <c r="AH15" i="71"/>
  <c r="AI15" i="71" s="1"/>
  <c r="AF30" i="71"/>
  <c r="AK30" i="71" s="1"/>
  <c r="AF34" i="71"/>
  <c r="AK34" i="71" s="1"/>
  <c r="AG21" i="71"/>
  <c r="AF21" i="71"/>
  <c r="AK21" i="71" s="1"/>
  <c r="AD87" i="71"/>
  <c r="AE87" i="71" s="1"/>
  <c r="AH17" i="71"/>
  <c r="AI17" i="71" s="1"/>
  <c r="AJ17" i="71"/>
  <c r="AJ25" i="71"/>
  <c r="AH25" i="71"/>
  <c r="AI25" i="71" s="1"/>
  <c r="AG19" i="71"/>
  <c r="AD89" i="71"/>
  <c r="AE89" i="71" s="1"/>
  <c r="AD12" i="71"/>
  <c r="AE12" i="71"/>
  <c r="AJ95" i="71"/>
  <c r="AH95" i="71"/>
  <c r="AI95" i="71" s="1"/>
  <c r="AG29" i="71"/>
  <c r="AG71" i="71"/>
  <c r="AG106" i="71"/>
  <c r="AD85" i="71"/>
  <c r="AE85" i="71" s="1"/>
  <c r="AG43" i="71"/>
  <c r="AG99" i="71"/>
  <c r="AJ40" i="71"/>
  <c r="AH40" i="71"/>
  <c r="AI40" i="71" s="1"/>
  <c r="AF55" i="71"/>
  <c r="AK55" i="71" s="1"/>
  <c r="AF22" i="71"/>
  <c r="AK22" i="71" s="1"/>
  <c r="AG20" i="71"/>
  <c r="AF20" i="71"/>
  <c r="AK20" i="71" s="1"/>
  <c r="AJ44" i="71"/>
  <c r="AH44" i="71"/>
  <c r="AI44" i="71" s="1"/>
  <c r="AH37" i="71"/>
  <c r="AI37" i="71" s="1"/>
  <c r="AJ37" i="71"/>
  <c r="AH58" i="71"/>
  <c r="AI58" i="71" s="1"/>
  <c r="AJ58" i="71"/>
  <c r="AF85" i="71" l="1"/>
  <c r="AK85" i="71" s="1"/>
  <c r="AG85" i="71"/>
  <c r="AG89" i="71"/>
  <c r="AF89" i="71"/>
  <c r="AK89" i="71" s="1"/>
  <c r="AF87" i="71"/>
  <c r="AK87" i="71" s="1"/>
  <c r="AG87" i="71"/>
  <c r="AG55" i="71"/>
  <c r="AH99" i="71"/>
  <c r="AJ99" i="71"/>
  <c r="AH106" i="71"/>
  <c r="AJ106" i="71"/>
  <c r="AG30" i="71"/>
  <c r="AH90" i="71"/>
  <c r="AI90" i="71" s="1"/>
  <c r="AJ90" i="71"/>
  <c r="AH20" i="71"/>
  <c r="AI20" i="71" s="1"/>
  <c r="AJ20" i="71"/>
  <c r="AH43" i="71"/>
  <c r="AI43" i="71" s="1"/>
  <c r="AJ43" i="71"/>
  <c r="AG12" i="71"/>
  <c r="AF12" i="71"/>
  <c r="AK12" i="71" s="1"/>
  <c r="AH21" i="71"/>
  <c r="AI21" i="71" s="1"/>
  <c r="AJ21" i="71"/>
  <c r="AJ57" i="71"/>
  <c r="AH57" i="71"/>
  <c r="AI57" i="71" s="1"/>
  <c r="AH71" i="71"/>
  <c r="AI71" i="71" s="1"/>
  <c r="AJ71" i="71"/>
  <c r="AH19" i="71"/>
  <c r="AI19" i="71" s="1"/>
  <c r="AJ19" i="71"/>
  <c r="AG22" i="71"/>
  <c r="AJ29" i="71"/>
  <c r="AH29" i="71"/>
  <c r="AI29" i="71" s="1"/>
  <c r="AG34" i="71"/>
  <c r="AG13" i="71"/>
  <c r="AG38" i="71"/>
  <c r="AF78" i="71"/>
  <c r="AK78" i="71" s="1"/>
  <c r="AJ13" i="71" l="1"/>
  <c r="AH13" i="71"/>
  <c r="AI13" i="71" s="1"/>
  <c r="AG78" i="71"/>
  <c r="AH34" i="71"/>
  <c r="AI34" i="71" s="1"/>
  <c r="AJ34" i="71"/>
  <c r="AJ30" i="71"/>
  <c r="AH30" i="71"/>
  <c r="AI30" i="71" s="1"/>
  <c r="AJ12" i="71"/>
  <c r="AH12" i="71"/>
  <c r="AI12" i="71" s="1"/>
  <c r="AH55" i="71"/>
  <c r="AI55" i="71" s="1"/>
  <c r="AJ55" i="71"/>
  <c r="AH89" i="71"/>
  <c r="AI89" i="71" s="1"/>
  <c r="AJ89" i="71"/>
  <c r="AH38" i="71"/>
  <c r="AI38" i="71" s="1"/>
  <c r="AJ38" i="71"/>
  <c r="AJ87" i="71"/>
  <c r="AH87" i="71"/>
  <c r="AI87" i="71" s="1"/>
  <c r="AJ85" i="71"/>
  <c r="AH85" i="71"/>
  <c r="AI85" i="71" s="1"/>
  <c r="AH22" i="71"/>
  <c r="AI22" i="71" s="1"/>
  <c r="AJ22" i="71"/>
  <c r="AJ78" i="71" l="1"/>
  <c r="AH78" i="71"/>
  <c r="AI78" i="71" s="1"/>
</calcChain>
</file>

<file path=xl/sharedStrings.xml><?xml version="1.0" encoding="utf-8"?>
<sst xmlns="http://schemas.openxmlformats.org/spreadsheetml/2006/main" count="1273" uniqueCount="300">
  <si>
    <t>250x120x88</t>
  </si>
  <si>
    <t>Janka</t>
  </si>
  <si>
    <t>M300</t>
  </si>
  <si>
    <t>M200</t>
  </si>
  <si>
    <t>250x120x65</t>
  </si>
  <si>
    <t>Brunis</t>
  </si>
  <si>
    <t>Vecais Janka</t>
  </si>
  <si>
    <t>Vecais Brunis</t>
  </si>
  <si>
    <t>Asais Janka</t>
  </si>
  <si>
    <t>Asais Brunis</t>
  </si>
  <si>
    <t>Skarbais Janka</t>
  </si>
  <si>
    <t>250x60x65</t>
  </si>
  <si>
    <t>250x80x65</t>
  </si>
  <si>
    <t>250x60x88</t>
  </si>
  <si>
    <t>250x80x88</t>
  </si>
  <si>
    <t>Janka F6</t>
  </si>
  <si>
    <t>M250</t>
  </si>
  <si>
    <t>Janka F7</t>
  </si>
  <si>
    <t>Janka F12</t>
  </si>
  <si>
    <t>Janka F13</t>
  </si>
  <si>
    <t>Janka F14</t>
  </si>
  <si>
    <t>Janka F15</t>
  </si>
  <si>
    <t>Janka F16</t>
  </si>
  <si>
    <t>Janka F17</t>
  </si>
  <si>
    <t>Janka F18</t>
  </si>
  <si>
    <t>Janka F20</t>
  </si>
  <si>
    <t>Janka F22</t>
  </si>
  <si>
    <t>Janka F25</t>
  </si>
  <si>
    <t>250x120x65(71)</t>
  </si>
  <si>
    <t>M150</t>
  </si>
  <si>
    <t>250x120x65(82)</t>
  </si>
  <si>
    <t>M500</t>
  </si>
  <si>
    <t>Janka F 6</t>
  </si>
  <si>
    <t>Janka F 7</t>
  </si>
  <si>
    <t>Janka F 14</t>
  </si>
  <si>
    <t>Janka F 15</t>
  </si>
  <si>
    <t>Janka F 17</t>
  </si>
  <si>
    <t>Janka F 20</t>
  </si>
  <si>
    <t>250x250x65</t>
  </si>
  <si>
    <t>230x125x105</t>
  </si>
  <si>
    <t>225x60x88</t>
  </si>
  <si>
    <t>295x115x88</t>
  </si>
  <si>
    <t>200x100x62</t>
  </si>
  <si>
    <t>M800</t>
  </si>
  <si>
    <t>60x60x62</t>
  </si>
  <si>
    <t>Размеры</t>
  </si>
  <si>
    <t>Наименование</t>
  </si>
  <si>
    <t>Цвет</t>
  </si>
  <si>
    <t>Вес</t>
  </si>
  <si>
    <t>мм</t>
  </si>
  <si>
    <t>кг</t>
  </si>
  <si>
    <t>шт.</t>
  </si>
  <si>
    <t>Лицевой кирпич дырчатый</t>
  </si>
  <si>
    <t>Лицевой кирпич полнотелый</t>
  </si>
  <si>
    <t>Керамические отделочные элементы</t>
  </si>
  <si>
    <t>Тротуарная плитка клинкерная</t>
  </si>
  <si>
    <t>красный</t>
  </si>
  <si>
    <t>гладкая</t>
  </si>
  <si>
    <t>желтый</t>
  </si>
  <si>
    <t>коричневый</t>
  </si>
  <si>
    <t>светло-коричневый</t>
  </si>
  <si>
    <t>ретро</t>
  </si>
  <si>
    <t>штриховая</t>
  </si>
  <si>
    <t>шероховатая</t>
  </si>
  <si>
    <t>Janka (2 половинки)</t>
  </si>
  <si>
    <t>темно-красная</t>
  </si>
  <si>
    <t>Rudis</t>
  </si>
  <si>
    <t>Rudite</t>
  </si>
  <si>
    <t>Martins</t>
  </si>
  <si>
    <t>Vecais Rudis</t>
  </si>
  <si>
    <t>Janka (боковой клин)</t>
  </si>
  <si>
    <t>Janka (торцовой клин)</t>
  </si>
  <si>
    <t>Перекрытия забора малая</t>
  </si>
  <si>
    <t>Подоконник маленький</t>
  </si>
  <si>
    <t>Подоконник большой</t>
  </si>
  <si>
    <t>стандартная</t>
  </si>
  <si>
    <t>2 половинки</t>
  </si>
  <si>
    <t>мозаика</t>
  </si>
  <si>
    <t>пестрый</t>
  </si>
  <si>
    <t>Плитка для пола большая</t>
  </si>
  <si>
    <t>Марка проч-ности</t>
  </si>
  <si>
    <t>Коли-чество на пал.</t>
  </si>
  <si>
    <t>Кол-во поддонов на а/м</t>
  </si>
  <si>
    <t>Кол-во штук в партии</t>
  </si>
  <si>
    <t>шт</t>
  </si>
  <si>
    <t>11.101200L</t>
  </si>
  <si>
    <t>11.101100L</t>
  </si>
  <si>
    <t>11.201100L</t>
  </si>
  <si>
    <t>11.211100L</t>
  </si>
  <si>
    <t>11.131100L</t>
  </si>
  <si>
    <t>11.141100L</t>
  </si>
  <si>
    <t>11.102100L</t>
  </si>
  <si>
    <t>11.202100L</t>
  </si>
  <si>
    <t>11.212100L</t>
  </si>
  <si>
    <t>11.103100L</t>
  </si>
  <si>
    <t>11.203100L</t>
  </si>
  <si>
    <t>11.104100L</t>
  </si>
  <si>
    <t>11.101102L</t>
  </si>
  <si>
    <t>11.101300L</t>
  </si>
  <si>
    <t>11.102300L</t>
  </si>
  <si>
    <t>11.101400L</t>
  </si>
  <si>
    <t>11.201400L</t>
  </si>
  <si>
    <t>11.102400L</t>
  </si>
  <si>
    <t>11.202400L</t>
  </si>
  <si>
    <t>11.103400L</t>
  </si>
  <si>
    <t>11.203400L</t>
  </si>
  <si>
    <t>11.101500L</t>
  </si>
  <si>
    <t>11.101600L</t>
  </si>
  <si>
    <t>11.102600L</t>
  </si>
  <si>
    <t>11.101106L</t>
  </si>
  <si>
    <t>11.101107L</t>
  </si>
  <si>
    <t>11.101112L</t>
  </si>
  <si>
    <t>11.101113L</t>
  </si>
  <si>
    <t>11.101114L</t>
  </si>
  <si>
    <t>11.101115L</t>
  </si>
  <si>
    <t>11.101116L</t>
  </si>
  <si>
    <t>11.101117L</t>
  </si>
  <si>
    <t>11.101118L</t>
  </si>
  <si>
    <t>11.101120L</t>
  </si>
  <si>
    <t>11.101122L</t>
  </si>
  <si>
    <t>11.101125L</t>
  </si>
  <si>
    <t>11.101171L</t>
  </si>
  <si>
    <t>11.101172L</t>
  </si>
  <si>
    <t>12.101100L</t>
  </si>
  <si>
    <t>12.201100L</t>
  </si>
  <si>
    <t>12.202100L</t>
  </si>
  <si>
    <t>12.101106L</t>
  </si>
  <si>
    <t>12.101107L</t>
  </si>
  <si>
    <t>12.101114L</t>
  </si>
  <si>
    <t>12.101115L</t>
  </si>
  <si>
    <t>12.101117L</t>
  </si>
  <si>
    <t>12.101120L</t>
  </si>
  <si>
    <t>20.101120L</t>
  </si>
  <si>
    <t>20.101210L</t>
  </si>
  <si>
    <t>20.101310L</t>
  </si>
  <si>
    <t>20.101320L</t>
  </si>
  <si>
    <t>40.101110L</t>
  </si>
  <si>
    <t>40.101112L</t>
  </si>
  <si>
    <t>40.101180L</t>
  </si>
  <si>
    <t>40.201110L</t>
  </si>
  <si>
    <t>40.201112L</t>
  </si>
  <si>
    <t>12.101113L</t>
  </si>
  <si>
    <t>Janka F 13</t>
  </si>
  <si>
    <t>11.301100K</t>
  </si>
  <si>
    <t>Ilzite</t>
  </si>
  <si>
    <t>Veca Ilzite</t>
  </si>
  <si>
    <t>11.302100K</t>
  </si>
  <si>
    <t>30.003440V</t>
  </si>
  <si>
    <t>245x440x238</t>
  </si>
  <si>
    <t>Keraterm 44</t>
  </si>
  <si>
    <t>M125</t>
  </si>
  <si>
    <t>30.003442V</t>
  </si>
  <si>
    <t>120x440x238</t>
  </si>
  <si>
    <t>Keraterm 44/2</t>
  </si>
  <si>
    <t>30.003443V</t>
  </si>
  <si>
    <t>190x440x238</t>
  </si>
  <si>
    <t>Keraterm 44 S</t>
  </si>
  <si>
    <t>375x250x238</t>
  </si>
  <si>
    <t>Keraterm 25</t>
  </si>
  <si>
    <t>30.003170V</t>
  </si>
  <si>
    <t>470x175x238</t>
  </si>
  <si>
    <t>Keraterm 17,5</t>
  </si>
  <si>
    <t>440x120x238</t>
  </si>
  <si>
    <t>Keraterm 12</t>
  </si>
  <si>
    <t>M100</t>
  </si>
  <si>
    <t>Керамические блоки Keraterm</t>
  </si>
  <si>
    <t>30.003250N</t>
  </si>
  <si>
    <t>30.002120N</t>
  </si>
  <si>
    <t>Заводской артикул</t>
  </si>
  <si>
    <t>11.301400K</t>
  </si>
  <si>
    <t>11.302400K</t>
  </si>
  <si>
    <t>11.303400K</t>
  </si>
  <si>
    <t>Asais Ilzite</t>
  </si>
  <si>
    <t>30.011510N</t>
  </si>
  <si>
    <t>250x510x219</t>
  </si>
  <si>
    <t>Keraterm 51</t>
  </si>
  <si>
    <t>M75</t>
  </si>
  <si>
    <t>30.013380N</t>
  </si>
  <si>
    <t>250x380x219</t>
  </si>
  <si>
    <t>Keraterm 38</t>
  </si>
  <si>
    <t>11.101700L</t>
  </si>
  <si>
    <t>250x85x65</t>
  </si>
  <si>
    <t>11.201700L</t>
  </si>
  <si>
    <t>11.102700L</t>
  </si>
  <si>
    <t>11.202700L</t>
  </si>
  <si>
    <t>11.103700L</t>
  </si>
  <si>
    <t>11.203700L</t>
  </si>
  <si>
    <r>
      <rPr>
        <b/>
        <sz val="10"/>
        <rFont val="Arial"/>
        <family val="2"/>
      </rPr>
      <t>КЕРАМИЧЕСКИЙ КИРПИЧ LODE</t>
    </r>
    <r>
      <rPr>
        <sz val="10"/>
        <rFont val="Arial"/>
        <family val="2"/>
      </rPr>
      <t xml:space="preserve"> / Латвия</t>
    </r>
  </si>
  <si>
    <t>Классика строительства</t>
  </si>
  <si>
    <t>12.101700L</t>
  </si>
  <si>
    <t>Поверхность</t>
  </si>
  <si>
    <t>EUR/1000 шт</t>
  </si>
  <si>
    <t>Цена DDP СПб, RUB/шт.</t>
  </si>
  <si>
    <t>СВХ/сутки, RUB/ам</t>
  </si>
  <si>
    <t>Склад HESA RUB/ам</t>
  </si>
  <si>
    <t xml:space="preserve">Брокер Россия, RUB/ам </t>
  </si>
  <si>
    <t>Там.сбор,RUB/ам</t>
  </si>
  <si>
    <t>LW RUB/ам</t>
  </si>
  <si>
    <t>Тр-т СПб,          RUB/ам</t>
  </si>
  <si>
    <t>Таможенная стоимость</t>
  </si>
  <si>
    <t>EUR ЦБ РФ</t>
  </si>
  <si>
    <t>EUR/USD</t>
  </si>
  <si>
    <t>USD ЦБ РФ</t>
  </si>
  <si>
    <t>Вес нетто партии</t>
  </si>
  <si>
    <t>Вес брутто партии</t>
  </si>
  <si>
    <t>Оф-е в Латвии RUB/ам</t>
  </si>
  <si>
    <t xml:space="preserve">Банковские расходы RUB/ам </t>
  </si>
  <si>
    <t xml:space="preserve">РАСЧЕТ ЛОГИСТИКИ </t>
  </si>
  <si>
    <t xml:space="preserve"> </t>
  </si>
  <si>
    <t>Цена DDP СПб, RUB/шт.           +100eur          (отсрочка 2 мес.)</t>
  </si>
  <si>
    <t>Компенсация за 2х мес. отсрочку</t>
  </si>
  <si>
    <t>SPb</t>
  </si>
  <si>
    <t xml:space="preserve">ФАКТ. Таможен. индекс, USD/кг </t>
  </si>
  <si>
    <t xml:space="preserve">РЕКОМЕНД. Таможен. индекс, USD/кг </t>
  </si>
  <si>
    <t>Пошлина</t>
  </si>
  <si>
    <t>НДС</t>
  </si>
  <si>
    <t>RUB/1000 шт</t>
  </si>
  <si>
    <t xml:space="preserve">Cт-ть          DDP- СПб/ам +3% </t>
  </si>
  <si>
    <t>индекс меньше или равен 0,16</t>
  </si>
  <si>
    <t>индекс больше 0,16</t>
  </si>
  <si>
    <t xml:space="preserve">Цена за 1000 шт.          </t>
  </si>
  <si>
    <r>
      <rPr>
        <b/>
        <sz val="10"/>
        <rFont val="Arial"/>
        <family val="2"/>
      </rPr>
      <t>ПРЕЙСКУРАНТ ЦЕН</t>
    </r>
    <r>
      <rPr>
        <sz val="10"/>
        <rFont val="Arial"/>
        <family val="2"/>
      </rPr>
      <t xml:space="preserve"> / цена EXW Лиепа, Латвия</t>
    </r>
  </si>
  <si>
    <t>Прейскурант действует с 01.03.2010 г. по 30.04.2010 г.</t>
  </si>
  <si>
    <t>Стоимость груза на  а/м</t>
  </si>
  <si>
    <t>Тр-т</t>
  </si>
  <si>
    <t>Доставка до границы</t>
  </si>
  <si>
    <t xml:space="preserve"> Индекс по цене EXW, USD / kg </t>
  </si>
  <si>
    <t>Реком.индекс, USD/kg</t>
  </si>
  <si>
    <t>Таможенный сбор, EUR</t>
  </si>
  <si>
    <t>Пошлина 20%, EUR</t>
  </si>
  <si>
    <t>НДС 18%, уплач. там.организациям, EUR</t>
  </si>
  <si>
    <t>Услуги брокера, EUR</t>
  </si>
  <si>
    <t>НДС 18%, оплачиваемый сторон. орг-цией, EUR</t>
  </si>
  <si>
    <t>НДС уплаченный, EUR</t>
  </si>
  <si>
    <t>Стоимость а/м  без НДС, EUR</t>
  </si>
  <si>
    <t>Наценка (Логитранс) EUR</t>
  </si>
  <si>
    <t>Стоимость а/м  без НДС с наценкой, EUR</t>
  </si>
  <si>
    <t>НДС начисленный, EUR</t>
  </si>
  <si>
    <t>Стоимость а/м с НДС /Москва/, EUR</t>
  </si>
  <si>
    <t>Cтоимость логистики , EUR</t>
  </si>
  <si>
    <t>НДС подлежащий к уплате в бюджет, EUR</t>
  </si>
  <si>
    <t>EUR</t>
  </si>
  <si>
    <t>Оформл+LW, 43+130</t>
  </si>
  <si>
    <t>Цена DDP Спб</t>
  </si>
  <si>
    <t>Экспедиция+LW+оформл., 1200+130+43 EUR</t>
  </si>
  <si>
    <t>Стоимость по там.индексу, EUR /а-м</t>
  </si>
  <si>
    <t>Цена EXWза 1000 шт.</t>
  </si>
  <si>
    <t>250х85х65</t>
  </si>
  <si>
    <t xml:space="preserve">гладкий </t>
  </si>
  <si>
    <t xml:space="preserve">RED </t>
  </si>
  <si>
    <t xml:space="preserve">шероховатый </t>
  </si>
  <si>
    <t>риф</t>
  </si>
  <si>
    <t>гладкий</t>
  </si>
  <si>
    <t>с песком</t>
  </si>
  <si>
    <t>каре</t>
  </si>
  <si>
    <t>TERRA</t>
  </si>
  <si>
    <t>шероховатый</t>
  </si>
  <si>
    <t>ROSSO</t>
  </si>
  <si>
    <t>SAFARI</t>
  </si>
  <si>
    <t>NERO</t>
  </si>
  <si>
    <t>RED flame</t>
  </si>
  <si>
    <t xml:space="preserve">TERRA flame </t>
  </si>
  <si>
    <t>KUURA</t>
  </si>
  <si>
    <t>ПРИМЕЧАНИЕ:</t>
  </si>
  <si>
    <t xml:space="preserve">Артикул </t>
  </si>
  <si>
    <t>Наименов.</t>
  </si>
  <si>
    <t>Размер, мм (ш*г*в)</t>
  </si>
  <si>
    <t>Вес, кг/шт.</t>
  </si>
  <si>
    <t>Кол-во на подд., шт.</t>
  </si>
  <si>
    <t>Норма загр., шт. на а/м 20,5 тонн</t>
  </si>
  <si>
    <t xml:space="preserve">Цена за ед. продукции, руб/шт с НДС (доставка до МКАД) </t>
  </si>
  <si>
    <t>ЛИЦЕВОЙ КЕРАМИЧЕСКИЙ КИРПИЧ TERCA</t>
  </si>
  <si>
    <t>FAT</t>
  </si>
  <si>
    <t>VAT</t>
  </si>
  <si>
    <t xml:space="preserve">VAT </t>
  </si>
  <si>
    <t xml:space="preserve">SAFARI </t>
  </si>
  <si>
    <t xml:space="preserve">FAT </t>
  </si>
  <si>
    <t xml:space="preserve">TERRA </t>
  </si>
  <si>
    <t>* Цены включают НДС (18%), стоимость поддонов, упаковки и погрузки на заводе.</t>
  </si>
  <si>
    <t xml:space="preserve">  в пределах Москвы и Московской области в радиусе 20 км от МКАД</t>
  </si>
  <si>
    <t>* Для заказа продукции, не включенной в данный прейскурант, необходимо обращаться в отдел продаж</t>
  </si>
  <si>
    <t>* Цены рассчитаны при заказе комплектных машин</t>
  </si>
  <si>
    <t>ООО "Новая керамика"</t>
  </si>
  <si>
    <t>107076, г. Москва, пер. Колодезный, д.14.</t>
  </si>
  <si>
    <t>Тел./факс  +7(495) 255 00 49</t>
  </si>
  <si>
    <t>newceramic@mail.ru</t>
  </si>
  <si>
    <t>www.newceramic.ru</t>
  </si>
  <si>
    <t>космос</t>
  </si>
  <si>
    <t>RED</t>
  </si>
  <si>
    <t>STT</t>
  </si>
  <si>
    <t>200x100x52</t>
  </si>
  <si>
    <t>RED/TERRA</t>
  </si>
  <si>
    <t>ST.JOHN'S</t>
  </si>
  <si>
    <t>KVT</t>
  </si>
  <si>
    <t>215х103х65</t>
  </si>
  <si>
    <t>ручн.форм.</t>
  </si>
  <si>
    <t>ST.PAUL'S</t>
  </si>
  <si>
    <t>TITAN</t>
  </si>
  <si>
    <t>MELANZ</t>
  </si>
  <si>
    <t>КЕРАМИЧЕСКИЙ КИРПИЧ TERCA / Эстония                           Прайс-лист дейсвует с 01.02.2014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</si>
</sst>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00"/>
    <numFmt numFmtId="165" formatCode="#,##0.00&quot;р.&quot;"/>
    <numFmt numFmtId="166" formatCode="#,##0.00\ [$€-1]"/>
    <numFmt numFmtId="167" formatCode="0.0"/>
    <numFmt numFmtId="168" formatCode="0.000"/>
    <numFmt numFmtId="169" formatCode="#,##0\ [$€-1]"/>
  </numFmts>
  <fonts count="49" x14ac:knownFonts="1">
    <font>
      <sz val="10"/>
      <name val="Arial"/>
      <charset val="186"/>
    </font>
    <font>
      <sz val="10"/>
      <name val="Arial"/>
      <charset val="186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186"/>
    </font>
    <font>
      <sz val="12"/>
      <name val="Arial"/>
      <family val="2"/>
    </font>
    <font>
      <i/>
      <sz val="8"/>
      <name val="Arial"/>
      <family val="2"/>
      <charset val="186"/>
    </font>
    <font>
      <sz val="8"/>
      <name val="Arial"/>
      <family val="2"/>
    </font>
    <font>
      <b/>
      <sz val="11"/>
      <name val="Arial"/>
      <family val="2"/>
    </font>
    <font>
      <b/>
      <sz val="11"/>
      <name val="Arial"/>
      <family val="2"/>
      <charset val="186"/>
    </font>
    <font>
      <b/>
      <sz val="8"/>
      <name val="Arial"/>
      <family val="2"/>
      <charset val="186"/>
    </font>
    <font>
      <u/>
      <sz val="9"/>
      <color indexed="12"/>
      <name val="Arial"/>
      <family val="2"/>
      <charset val="204"/>
    </font>
    <font>
      <sz val="10"/>
      <name val="Arial"/>
      <family val="2"/>
      <charset val="204"/>
    </font>
    <font>
      <sz val="6"/>
      <name val="Arial"/>
      <family val="2"/>
    </font>
    <font>
      <b/>
      <i/>
      <sz val="8"/>
      <name val="Arial"/>
      <family val="2"/>
      <charset val="204"/>
    </font>
    <font>
      <sz val="8"/>
      <name val="Calibri"/>
      <family val="2"/>
      <charset val="204"/>
    </font>
    <font>
      <sz val="10"/>
      <name val="Arial Cyr"/>
      <charset val="204"/>
    </font>
    <font>
      <i/>
      <sz val="8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sz val="9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12"/>
      <name val="Times New Roman"/>
      <family val="1"/>
    </font>
    <font>
      <sz val="8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b/>
      <sz val="10"/>
      <color indexed="16"/>
      <name val="Arial"/>
      <family val="2"/>
      <charset val="204"/>
    </font>
    <font>
      <b/>
      <sz val="10"/>
      <color indexed="9"/>
      <name val="Arial"/>
      <family val="2"/>
      <charset val="204"/>
    </font>
    <font>
      <u/>
      <sz val="8"/>
      <color theme="10"/>
      <name val="Calibri"/>
      <family val="2"/>
      <charset val="204"/>
    </font>
    <font>
      <i/>
      <sz val="8"/>
      <color rgb="FFFF0000"/>
      <name val="Arial"/>
      <family val="2"/>
    </font>
    <font>
      <sz val="8"/>
      <color rgb="FFFF0000"/>
      <name val="Arial"/>
      <family val="2"/>
      <charset val="204"/>
    </font>
    <font>
      <sz val="8"/>
      <color theme="3" tint="0.39997558519241921"/>
      <name val="Arial"/>
      <family val="2"/>
      <charset val="204"/>
    </font>
    <font>
      <sz val="9"/>
      <color rgb="FFFF0000"/>
      <name val="Arial"/>
      <family val="2"/>
      <charset val="204"/>
    </font>
    <font>
      <sz val="9"/>
      <color theme="3" tint="0.39997558519241921"/>
      <name val="Arial"/>
      <family val="2"/>
      <charset val="204"/>
    </font>
    <font>
      <sz val="8"/>
      <color rgb="FFFF0000"/>
      <name val="Arial Cyr"/>
      <family val="2"/>
      <charset val="204"/>
    </font>
    <font>
      <sz val="8"/>
      <color theme="3" tint="0.39997558519241921"/>
      <name val="Arial Cyr"/>
      <family val="2"/>
      <charset val="204"/>
    </font>
    <font>
      <sz val="8"/>
      <color theme="1"/>
      <name val="Arial"/>
      <family val="2"/>
      <charset val="204"/>
    </font>
    <font>
      <sz val="9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10"/>
      <color theme="3" tint="0.39997558519241921"/>
      <name val="Arial Cyr"/>
      <charset val="204"/>
    </font>
    <font>
      <b/>
      <sz val="11"/>
      <color rgb="FFFF0000"/>
      <name val="Calibri"/>
      <family val="2"/>
      <charset val="204"/>
      <scheme val="minor"/>
    </font>
    <font>
      <b/>
      <sz val="11"/>
      <color theme="5" tint="-0.499984740745262"/>
      <name val="Arial Cyr"/>
      <charset val="204"/>
    </font>
    <font>
      <b/>
      <sz val="10"/>
      <color theme="5" tint="-0.499984740745262"/>
      <name val="Arial"/>
      <family val="2"/>
      <charset val="204"/>
    </font>
    <font>
      <sz val="10"/>
      <color theme="5" tint="-0.499984740745262"/>
      <name val="Arial"/>
      <family val="2"/>
      <charset val="204"/>
    </font>
    <font>
      <b/>
      <sz val="11"/>
      <color theme="9" tint="-0.249977111117893"/>
      <name val="Arial"/>
      <family val="2"/>
      <charset val="204"/>
    </font>
    <font>
      <sz val="11"/>
      <color theme="9" tint="-0.249977111117893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6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2" fillId="0" borderId="0"/>
    <xf numFmtId="0" fontId="16" fillId="0" borderId="0"/>
    <xf numFmtId="9" fontId="1" fillId="0" borderId="0" applyFont="0" applyFill="0" applyBorder="0" applyAlignment="0" applyProtection="0"/>
  </cellStyleXfs>
  <cellXfs count="288">
    <xf numFmtId="0" fontId="0" fillId="0" borderId="0" xfId="0"/>
    <xf numFmtId="0" fontId="2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3" fontId="6" fillId="0" borderId="1" xfId="0" applyNumberFormat="1" applyFont="1" applyFill="1" applyBorder="1" applyAlignment="1">
      <alignment horizontal="center" wrapText="1"/>
    </xf>
    <xf numFmtId="1" fontId="2" fillId="0" borderId="1" xfId="0" applyNumberFormat="1" applyFont="1" applyFill="1" applyBorder="1" applyAlignment="1">
      <alignment horizontal="left"/>
    </xf>
    <xf numFmtId="4" fontId="13" fillId="0" borderId="0" xfId="0" applyNumberFormat="1" applyFont="1" applyFill="1" applyBorder="1"/>
    <xf numFmtId="1" fontId="7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wrapText="1"/>
    </xf>
    <xf numFmtId="3" fontId="5" fillId="0" borderId="1" xfId="0" applyNumberFormat="1" applyFont="1" applyFill="1" applyBorder="1" applyAlignment="1">
      <alignment wrapText="1"/>
    </xf>
    <xf numFmtId="4" fontId="10" fillId="0" borderId="1" xfId="0" applyNumberFormat="1" applyFont="1" applyFill="1" applyBorder="1" applyAlignment="1">
      <alignment horizontal="right"/>
    </xf>
    <xf numFmtId="1" fontId="8" fillId="0" borderId="1" xfId="0" applyNumberFormat="1" applyFont="1" applyFill="1" applyBorder="1" applyAlignment="1"/>
    <xf numFmtId="1" fontId="8" fillId="0" borderId="1" xfId="0" applyNumberFormat="1" applyFont="1" applyFill="1" applyBorder="1" applyAlignment="1">
      <alignment horizontal="center"/>
    </xf>
    <xf numFmtId="1" fontId="8" fillId="0" borderId="1" xfId="0" applyNumberFormat="1" applyFont="1" applyFill="1" applyBorder="1" applyAlignment="1">
      <alignment horizontal="left"/>
    </xf>
    <xf numFmtId="4" fontId="3" fillId="0" borderId="1" xfId="0" applyNumberFormat="1" applyFont="1" applyFill="1" applyBorder="1" applyAlignment="1"/>
    <xf numFmtId="3" fontId="3" fillId="0" borderId="1" xfId="0" applyNumberFormat="1" applyFont="1" applyFill="1" applyBorder="1" applyAlignment="1"/>
    <xf numFmtId="0" fontId="3" fillId="0" borderId="1" xfId="0" applyFont="1" applyFill="1" applyBorder="1" applyAlignment="1">
      <alignment horizontal="center"/>
    </xf>
    <xf numFmtId="4" fontId="9" fillId="0" borderId="1" xfId="0" applyNumberFormat="1" applyFont="1" applyFill="1" applyBorder="1" applyAlignment="1">
      <alignment horizontal="right"/>
    </xf>
    <xf numFmtId="1" fontId="2" fillId="0" borderId="1" xfId="0" applyNumberFormat="1" applyFont="1" applyFill="1" applyBorder="1" applyAlignment="1">
      <alignment horizontal="right"/>
    </xf>
    <xf numFmtId="1" fontId="2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/>
    <xf numFmtId="3" fontId="2" fillId="0" borderId="1" xfId="0" applyNumberFormat="1" applyFont="1" applyFill="1" applyBorder="1" applyAlignment="1"/>
    <xf numFmtId="166" fontId="4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165" fontId="4" fillId="0" borderId="1" xfId="0" applyNumberFormat="1" applyFont="1" applyFill="1" applyBorder="1" applyAlignment="1">
      <alignment horizontal="right"/>
    </xf>
    <xf numFmtId="4" fontId="4" fillId="0" borderId="1" xfId="0" applyNumberFormat="1" applyFont="1" applyFill="1" applyBorder="1" applyAlignment="1">
      <alignment horizontal="right"/>
    </xf>
    <xf numFmtId="0" fontId="2" fillId="0" borderId="1" xfId="0" applyFont="1" applyFill="1" applyBorder="1"/>
    <xf numFmtId="0" fontId="8" fillId="0" borderId="1" xfId="0" applyFont="1" applyFill="1" applyBorder="1"/>
    <xf numFmtId="0" fontId="3" fillId="0" borderId="1" xfId="0" applyFont="1" applyFill="1" applyBorder="1"/>
    <xf numFmtId="4" fontId="2" fillId="0" borderId="1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right"/>
    </xf>
    <xf numFmtId="0" fontId="12" fillId="0" borderId="1" xfId="0" applyFont="1" applyFill="1" applyBorder="1" applyAlignment="1">
      <alignment horizontal="center"/>
    </xf>
    <xf numFmtId="165" fontId="12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center" wrapText="1"/>
    </xf>
    <xf numFmtId="1" fontId="2" fillId="4" borderId="1" xfId="0" applyNumberFormat="1" applyFont="1" applyFill="1" applyBorder="1" applyAlignment="1">
      <alignment horizontal="right"/>
    </xf>
    <xf numFmtId="1" fontId="2" fillId="4" borderId="1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left"/>
    </xf>
    <xf numFmtId="4" fontId="2" fillId="4" borderId="1" xfId="0" applyNumberFormat="1" applyFont="1" applyFill="1" applyBorder="1" applyAlignment="1"/>
    <xf numFmtId="3" fontId="2" fillId="4" borderId="1" xfId="0" applyNumberFormat="1" applyFont="1" applyFill="1" applyBorder="1" applyAlignment="1"/>
    <xf numFmtId="0" fontId="2" fillId="4" borderId="1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166" fontId="4" fillId="4" borderId="1" xfId="0" applyNumberFormat="1" applyFont="1" applyFill="1" applyBorder="1" applyAlignment="1">
      <alignment horizontal="right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left"/>
    </xf>
    <xf numFmtId="2" fontId="2" fillId="0" borderId="0" xfId="0" applyNumberFormat="1" applyFont="1" applyFill="1" applyBorder="1"/>
    <xf numFmtId="2" fontId="13" fillId="0" borderId="0" xfId="0" applyNumberFormat="1" applyFont="1" applyFill="1" applyBorder="1"/>
    <xf numFmtId="2" fontId="12" fillId="0" borderId="1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/>
    <xf numFmtId="4" fontId="0" fillId="0" borderId="1" xfId="0" applyNumberFormat="1" applyFill="1" applyBorder="1" applyAlignment="1">
      <alignment horizontal="center"/>
    </xf>
    <xf numFmtId="0" fontId="0" fillId="0" borderId="0" xfId="0" applyFill="1"/>
    <xf numFmtId="2" fontId="0" fillId="0" borderId="0" xfId="0" applyNumberFormat="1" applyFill="1"/>
    <xf numFmtId="2" fontId="4" fillId="0" borderId="1" xfId="0" applyNumberFormat="1" applyFont="1" applyFill="1" applyBorder="1" applyAlignment="1">
      <alignment horizontal="right"/>
    </xf>
    <xf numFmtId="0" fontId="12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31" fillId="0" borderId="0" xfId="2" applyFont="1" applyFill="1" applyAlignment="1" applyProtection="1">
      <alignment horizontal="left"/>
    </xf>
    <xf numFmtId="0" fontId="15" fillId="0" borderId="0" xfId="2" applyFont="1" applyFill="1" applyAlignment="1" applyProtection="1">
      <alignment horizontal="left"/>
    </xf>
    <xf numFmtId="2" fontId="15" fillId="0" borderId="0" xfId="2" applyNumberFormat="1" applyFont="1" applyFill="1" applyAlignment="1" applyProtection="1">
      <alignment horizontal="left"/>
    </xf>
    <xf numFmtId="0" fontId="0" fillId="0" borderId="1" xfId="0" applyFill="1" applyBorder="1"/>
    <xf numFmtId="2" fontId="2" fillId="0" borderId="1" xfId="0" applyNumberFormat="1" applyFont="1" applyFill="1" applyBorder="1"/>
    <xf numFmtId="0" fontId="12" fillId="0" borderId="0" xfId="0" applyFont="1" applyFill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wrapText="1"/>
    </xf>
    <xf numFmtId="3" fontId="6" fillId="0" borderId="2" xfId="0" applyNumberFormat="1" applyFont="1" applyFill="1" applyBorder="1" applyAlignment="1">
      <alignment horizontal="center" wrapText="1"/>
    </xf>
    <xf numFmtId="165" fontId="32" fillId="0" borderId="2" xfId="0" applyNumberFormat="1" applyFont="1" applyFill="1" applyBorder="1" applyAlignment="1">
      <alignment horizontal="center" wrapText="1"/>
    </xf>
    <xf numFmtId="164" fontId="6" fillId="0" borderId="2" xfId="0" applyNumberFormat="1" applyFont="1" applyFill="1" applyBorder="1" applyAlignment="1">
      <alignment horizontal="center" wrapText="1"/>
    </xf>
    <xf numFmtId="165" fontId="6" fillId="0" borderId="2" xfId="0" applyNumberFormat="1" applyFont="1" applyFill="1" applyBorder="1" applyAlignment="1">
      <alignment horizontal="center" wrapText="1"/>
    </xf>
    <xf numFmtId="4" fontId="6" fillId="0" borderId="2" xfId="0" applyNumberFormat="1" applyFont="1" applyFill="1" applyBorder="1" applyAlignment="1">
      <alignment horizontal="center" wrapText="1"/>
    </xf>
    <xf numFmtId="166" fontId="6" fillId="0" borderId="2" xfId="0" applyNumberFormat="1" applyFont="1" applyFill="1" applyBorder="1" applyAlignment="1">
      <alignment horizontal="center" wrapText="1"/>
    </xf>
    <xf numFmtId="4" fontId="14" fillId="0" borderId="2" xfId="0" applyNumberFormat="1" applyFont="1" applyFill="1" applyBorder="1" applyAlignment="1">
      <alignment horizontal="center" wrapText="1"/>
    </xf>
    <xf numFmtId="0" fontId="0" fillId="0" borderId="2" xfId="0" applyFill="1" applyBorder="1" applyAlignment="1">
      <alignment horizontal="center"/>
    </xf>
    <xf numFmtId="166" fontId="17" fillId="0" borderId="2" xfId="0" applyNumberFormat="1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/>
    </xf>
    <xf numFmtId="10" fontId="6" fillId="0" borderId="2" xfId="0" applyNumberFormat="1" applyFont="1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3" fontId="6" fillId="0" borderId="3" xfId="0" applyNumberFormat="1" applyFont="1" applyFill="1" applyBorder="1" applyAlignment="1">
      <alignment horizontal="center" wrapText="1"/>
    </xf>
    <xf numFmtId="3" fontId="6" fillId="0" borderId="0" xfId="0" applyNumberFormat="1" applyFont="1" applyFill="1" applyBorder="1" applyAlignment="1">
      <alignment horizontal="center" wrapText="1"/>
    </xf>
    <xf numFmtId="165" fontId="32" fillId="0" borderId="0" xfId="0" applyNumberFormat="1" applyFont="1" applyFill="1" applyBorder="1" applyAlignment="1">
      <alignment horizontal="center" wrapText="1"/>
    </xf>
    <xf numFmtId="164" fontId="6" fillId="0" borderId="0" xfId="0" applyNumberFormat="1" applyFont="1" applyFill="1" applyBorder="1" applyAlignment="1">
      <alignment horizontal="center" wrapText="1"/>
    </xf>
    <xf numFmtId="165" fontId="6" fillId="0" borderId="0" xfId="0" applyNumberFormat="1" applyFont="1" applyFill="1" applyBorder="1" applyAlignment="1">
      <alignment horizontal="center" wrapText="1"/>
    </xf>
    <xf numFmtId="4" fontId="6" fillId="0" borderId="0" xfId="0" applyNumberFormat="1" applyFont="1" applyFill="1" applyBorder="1" applyAlignment="1">
      <alignment horizontal="center" wrapText="1"/>
    </xf>
    <xf numFmtId="166" fontId="17" fillId="0" borderId="0" xfId="0" applyNumberFormat="1" applyFont="1" applyFill="1" applyBorder="1" applyAlignment="1">
      <alignment horizontal="center" wrapText="1"/>
    </xf>
    <xf numFmtId="166" fontId="6" fillId="0" borderId="0" xfId="0" applyNumberFormat="1" applyFont="1" applyFill="1" applyBorder="1" applyAlignment="1">
      <alignment horizontal="center" wrapText="1"/>
    </xf>
    <xf numFmtId="10" fontId="6" fillId="0" borderId="0" xfId="0" applyNumberFormat="1" applyFont="1" applyFill="1" applyBorder="1" applyAlignment="1">
      <alignment horizontal="center" wrapText="1"/>
    </xf>
    <xf numFmtId="4" fontId="14" fillId="0" borderId="0" xfId="0" applyNumberFormat="1" applyFont="1" applyFill="1" applyBorder="1" applyAlignment="1">
      <alignment horizontal="center" wrapText="1"/>
    </xf>
    <xf numFmtId="0" fontId="0" fillId="5" borderId="4" xfId="0" applyFill="1" applyBorder="1"/>
    <xf numFmtId="0" fontId="2" fillId="0" borderId="5" xfId="0" applyFont="1" applyFill="1" applyBorder="1" applyAlignment="1">
      <alignment horizontal="left"/>
    </xf>
    <xf numFmtId="0" fontId="19" fillId="0" borderId="1" xfId="3" applyFont="1" applyFill="1" applyBorder="1" applyAlignment="1">
      <alignment horizontal="center" vertical="center" wrapText="1"/>
    </xf>
    <xf numFmtId="2" fontId="17" fillId="6" borderId="1" xfId="0" applyNumberFormat="1" applyFont="1" applyFill="1" applyBorder="1" applyAlignment="1">
      <alignment horizontal="center" vertical="center" wrapText="1"/>
    </xf>
    <xf numFmtId="1" fontId="20" fillId="6" borderId="1" xfId="0" applyNumberFormat="1" applyFont="1" applyFill="1" applyBorder="1" applyAlignment="1">
      <alignment vertical="center" wrapText="1"/>
    </xf>
    <xf numFmtId="1" fontId="33" fillId="6" borderId="6" xfId="0" applyNumberFormat="1" applyFont="1" applyFill="1" applyBorder="1" applyAlignment="1">
      <alignment vertical="center" wrapText="1"/>
    </xf>
    <xf numFmtId="1" fontId="20" fillId="0" borderId="1" xfId="0" applyNumberFormat="1" applyFont="1" applyBorder="1" applyAlignment="1">
      <alignment vertical="center" wrapText="1"/>
    </xf>
    <xf numFmtId="0" fontId="20" fillId="6" borderId="1" xfId="0" applyFont="1" applyFill="1" applyBorder="1" applyAlignment="1">
      <alignment vertical="center" wrapText="1"/>
    </xf>
    <xf numFmtId="1" fontId="20" fillId="6" borderId="7" xfId="0" applyNumberFormat="1" applyFont="1" applyFill="1" applyBorder="1" applyAlignment="1">
      <alignment vertical="center" wrapText="1"/>
    </xf>
    <xf numFmtId="1" fontId="33" fillId="0" borderId="1" xfId="0" applyNumberFormat="1" applyFont="1" applyFill="1" applyBorder="1" applyAlignment="1">
      <alignment vertical="center" wrapText="1"/>
    </xf>
    <xf numFmtId="0" fontId="34" fillId="6" borderId="1" xfId="0" applyFont="1" applyFill="1" applyBorder="1" applyAlignment="1">
      <alignment vertical="center" wrapText="1"/>
    </xf>
    <xf numFmtId="0" fontId="21" fillId="0" borderId="1" xfId="3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top" wrapText="1"/>
    </xf>
    <xf numFmtId="0" fontId="35" fillId="0" borderId="1" xfId="0" applyFont="1" applyBorder="1" applyAlignment="1">
      <alignment horizontal="center" vertical="top" wrapText="1"/>
    </xf>
    <xf numFmtId="0" fontId="23" fillId="0" borderId="1" xfId="0" applyFont="1" applyBorder="1" applyAlignment="1">
      <alignment horizontal="center" vertical="top" wrapText="1"/>
    </xf>
    <xf numFmtId="9" fontId="23" fillId="0" borderId="1" xfId="0" applyNumberFormat="1" applyFont="1" applyBorder="1" applyAlignment="1">
      <alignment horizontal="center" vertical="top" wrapText="1"/>
    </xf>
    <xf numFmtId="0" fontId="36" fillId="0" borderId="1" xfId="0" applyFont="1" applyBorder="1" applyAlignment="1">
      <alignment horizontal="center" vertical="top" wrapText="1"/>
    </xf>
    <xf numFmtId="0" fontId="24" fillId="0" borderId="0" xfId="0" applyFont="1" applyFill="1" applyBorder="1"/>
    <xf numFmtId="169" fontId="25" fillId="0" borderId="1" xfId="0" applyNumberFormat="1" applyFont="1" applyFill="1" applyBorder="1" applyAlignment="1">
      <alignment horizontal="center" wrapText="1"/>
    </xf>
    <xf numFmtId="169" fontId="37" fillId="0" borderId="1" xfId="0" applyNumberFormat="1" applyFont="1" applyFill="1" applyBorder="1" applyAlignment="1">
      <alignment horizontal="center" wrapText="1"/>
    </xf>
    <xf numFmtId="9" fontId="25" fillId="0" borderId="1" xfId="0" applyNumberFormat="1" applyFont="1" applyFill="1" applyBorder="1" applyAlignment="1">
      <alignment horizontal="center"/>
    </xf>
    <xf numFmtId="9" fontId="38" fillId="0" borderId="1" xfId="0" applyNumberFormat="1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 vertical="center"/>
    </xf>
    <xf numFmtId="1" fontId="26" fillId="0" borderId="1" xfId="0" applyNumberFormat="1" applyFont="1" applyFill="1" applyBorder="1" applyAlignment="1">
      <alignment horizontal="center" vertical="center"/>
    </xf>
    <xf numFmtId="2" fontId="39" fillId="0" borderId="1" xfId="0" applyNumberFormat="1" applyFont="1" applyFill="1" applyBorder="1"/>
    <xf numFmtId="2" fontId="33" fillId="0" borderId="7" xfId="0" applyNumberFormat="1" applyFont="1" applyFill="1" applyBorder="1" applyAlignment="1">
      <alignment horizontal="right" wrapText="1"/>
    </xf>
    <xf numFmtId="2" fontId="40" fillId="0" borderId="1" xfId="0" applyNumberFormat="1" applyFont="1" applyFill="1" applyBorder="1"/>
    <xf numFmtId="3" fontId="19" fillId="0" borderId="1" xfId="0" applyNumberFormat="1" applyFont="1" applyFill="1" applyBorder="1"/>
    <xf numFmtId="1" fontId="41" fillId="0" borderId="1" xfId="0" applyNumberFormat="1" applyFont="1" applyFill="1" applyBorder="1"/>
    <xf numFmtId="2" fontId="41" fillId="0" borderId="1" xfId="0" applyNumberFormat="1" applyFont="1" applyFill="1" applyBorder="1"/>
    <xf numFmtId="2" fontId="35" fillId="0" borderId="1" xfId="0" applyNumberFormat="1" applyFont="1" applyFill="1" applyBorder="1"/>
    <xf numFmtId="2" fontId="42" fillId="0" borderId="1" xfId="0" applyNumberFormat="1" applyFont="1" applyFill="1" applyBorder="1"/>
    <xf numFmtId="2" fontId="39" fillId="6" borderId="1" xfId="0" applyNumberFormat="1" applyFont="1" applyFill="1" applyBorder="1"/>
    <xf numFmtId="2" fontId="33" fillId="6" borderId="7" xfId="0" applyNumberFormat="1" applyFont="1" applyFill="1" applyBorder="1" applyAlignment="1">
      <alignment horizontal="right" wrapText="1"/>
    </xf>
    <xf numFmtId="2" fontId="40" fillId="6" borderId="1" xfId="0" applyNumberFormat="1" applyFont="1" applyFill="1" applyBorder="1"/>
    <xf numFmtId="3" fontId="41" fillId="6" borderId="1" xfId="0" applyNumberFormat="1" applyFont="1" applyFill="1" applyBorder="1"/>
    <xf numFmtId="1" fontId="41" fillId="6" borderId="1" xfId="0" applyNumberFormat="1" applyFont="1" applyFill="1" applyBorder="1"/>
    <xf numFmtId="2" fontId="41" fillId="6" borderId="1" xfId="0" applyNumberFormat="1" applyFont="1" applyFill="1" applyBorder="1"/>
    <xf numFmtId="2" fontId="39" fillId="7" borderId="1" xfId="0" applyNumberFormat="1" applyFont="1" applyFill="1" applyBorder="1"/>
    <xf numFmtId="2" fontId="35" fillId="6" borderId="1" xfId="0" applyNumberFormat="1" applyFont="1" applyFill="1" applyBorder="1"/>
    <xf numFmtId="2" fontId="12" fillId="8" borderId="1" xfId="0" applyNumberFormat="1" applyFont="1" applyFill="1" applyBorder="1" applyAlignment="1">
      <alignment horizontal="center"/>
    </xf>
    <xf numFmtId="0" fontId="26" fillId="8" borderId="1" xfId="0" applyFont="1" applyFill="1" applyBorder="1" applyAlignment="1">
      <alignment horizontal="center" vertical="center"/>
    </xf>
    <xf numFmtId="1" fontId="26" fillId="8" borderId="1" xfId="0" applyNumberFormat="1" applyFont="1" applyFill="1" applyBorder="1" applyAlignment="1">
      <alignment horizontal="center" vertical="center"/>
    </xf>
    <xf numFmtId="2" fontId="39" fillId="8" borderId="1" xfId="0" applyNumberFormat="1" applyFont="1" applyFill="1" applyBorder="1"/>
    <xf numFmtId="2" fontId="33" fillId="8" borderId="7" xfId="0" applyNumberFormat="1" applyFont="1" applyFill="1" applyBorder="1" applyAlignment="1">
      <alignment horizontal="right" wrapText="1"/>
    </xf>
    <xf numFmtId="2" fontId="40" fillId="8" borderId="1" xfId="0" applyNumberFormat="1" applyFont="1" applyFill="1" applyBorder="1"/>
    <xf numFmtId="3" fontId="41" fillId="8" borderId="1" xfId="0" applyNumberFormat="1" applyFont="1" applyFill="1" applyBorder="1"/>
    <xf numFmtId="1" fontId="41" fillId="8" borderId="1" xfId="0" applyNumberFormat="1" applyFont="1" applyFill="1" applyBorder="1"/>
    <xf numFmtId="2" fontId="41" fillId="8" borderId="1" xfId="0" applyNumberFormat="1" applyFont="1" applyFill="1" applyBorder="1"/>
    <xf numFmtId="2" fontId="35" fillId="8" borderId="1" xfId="0" applyNumberFormat="1" applyFont="1" applyFill="1" applyBorder="1"/>
    <xf numFmtId="2" fontId="42" fillId="8" borderId="1" xfId="0" applyNumberFormat="1" applyFont="1" applyFill="1" applyBorder="1"/>
    <xf numFmtId="0" fontId="2" fillId="9" borderId="1" xfId="0" applyFont="1" applyFill="1" applyBorder="1" applyAlignment="1">
      <alignment horizontal="right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left"/>
    </xf>
    <xf numFmtId="4" fontId="2" fillId="9" borderId="1" xfId="0" applyNumberFormat="1" applyFont="1" applyFill="1" applyBorder="1" applyAlignment="1"/>
    <xf numFmtId="3" fontId="2" fillId="9" borderId="1" xfId="0" applyNumberFormat="1" applyFont="1" applyFill="1" applyBorder="1" applyAlignment="1"/>
    <xf numFmtId="0" fontId="2" fillId="9" borderId="1" xfId="0" applyFont="1" applyFill="1" applyBorder="1"/>
    <xf numFmtId="165" fontId="12" fillId="9" borderId="1" xfId="0" applyNumberFormat="1" applyFont="1" applyFill="1" applyBorder="1" applyAlignment="1">
      <alignment horizontal="right"/>
    </xf>
    <xf numFmtId="0" fontId="12" fillId="9" borderId="1" xfId="0" applyFont="1" applyFill="1" applyBorder="1" applyAlignment="1">
      <alignment horizontal="center"/>
    </xf>
    <xf numFmtId="165" fontId="4" fillId="9" borderId="1" xfId="0" applyNumberFormat="1" applyFont="1" applyFill="1" applyBorder="1" applyAlignment="1">
      <alignment horizontal="right"/>
    </xf>
    <xf numFmtId="2" fontId="12" fillId="9" borderId="1" xfId="0" applyNumberFormat="1" applyFont="1" applyFill="1" applyBorder="1" applyAlignment="1">
      <alignment horizontal="center"/>
    </xf>
    <xf numFmtId="0" fontId="26" fillId="9" borderId="1" xfId="0" applyFont="1" applyFill="1" applyBorder="1" applyAlignment="1">
      <alignment horizontal="center" vertical="center"/>
    </xf>
    <xf numFmtId="1" fontId="26" fillId="9" borderId="1" xfId="0" applyNumberFormat="1" applyFont="1" applyFill="1" applyBorder="1" applyAlignment="1">
      <alignment horizontal="center" vertical="center"/>
    </xf>
    <xf numFmtId="2" fontId="39" fillId="9" borderId="1" xfId="0" applyNumberFormat="1" applyFont="1" applyFill="1" applyBorder="1"/>
    <xf numFmtId="2" fontId="33" fillId="9" borderId="7" xfId="0" applyNumberFormat="1" applyFont="1" applyFill="1" applyBorder="1" applyAlignment="1">
      <alignment horizontal="right" wrapText="1"/>
    </xf>
    <xf numFmtId="2" fontId="40" fillId="9" borderId="1" xfId="0" applyNumberFormat="1" applyFont="1" applyFill="1" applyBorder="1"/>
    <xf numFmtId="3" fontId="41" fillId="9" borderId="1" xfId="0" applyNumberFormat="1" applyFont="1" applyFill="1" applyBorder="1"/>
    <xf numFmtId="1" fontId="41" fillId="9" borderId="1" xfId="0" applyNumberFormat="1" applyFont="1" applyFill="1" applyBorder="1"/>
    <xf numFmtId="2" fontId="41" fillId="9" borderId="1" xfId="0" applyNumberFormat="1" applyFont="1" applyFill="1" applyBorder="1"/>
    <xf numFmtId="2" fontId="35" fillId="9" borderId="1" xfId="0" applyNumberFormat="1" applyFont="1" applyFill="1" applyBorder="1"/>
    <xf numFmtId="2" fontId="42" fillId="9" borderId="1" xfId="0" applyNumberFormat="1" applyFont="1" applyFill="1" applyBorder="1"/>
    <xf numFmtId="1" fontId="8" fillId="9" borderId="1" xfId="0" applyNumberFormat="1" applyFont="1" applyFill="1" applyBorder="1" applyAlignment="1"/>
    <xf numFmtId="1" fontId="8" fillId="9" borderId="1" xfId="0" applyNumberFormat="1" applyFont="1" applyFill="1" applyBorder="1" applyAlignment="1">
      <alignment horizontal="center"/>
    </xf>
    <xf numFmtId="1" fontId="8" fillId="9" borderId="1" xfId="0" applyNumberFormat="1" applyFont="1" applyFill="1" applyBorder="1" applyAlignment="1">
      <alignment horizontal="left"/>
    </xf>
    <xf numFmtId="4" fontId="3" fillId="9" borderId="1" xfId="0" applyNumberFormat="1" applyFont="1" applyFill="1" applyBorder="1" applyAlignment="1"/>
    <xf numFmtId="3" fontId="3" fillId="9" borderId="1" xfId="0" applyNumberFormat="1" applyFont="1" applyFill="1" applyBorder="1" applyAlignment="1"/>
    <xf numFmtId="0" fontId="3" fillId="9" borderId="1" xfId="0" applyFont="1" applyFill="1" applyBorder="1"/>
    <xf numFmtId="2" fontId="12" fillId="4" borderId="1" xfId="0" applyNumberFormat="1" applyFont="1" applyFill="1" applyBorder="1" applyAlignment="1">
      <alignment horizontal="center"/>
    </xf>
    <xf numFmtId="0" fontId="26" fillId="4" borderId="1" xfId="0" applyFont="1" applyFill="1" applyBorder="1" applyAlignment="1">
      <alignment horizontal="center" vertical="center"/>
    </xf>
    <xf numFmtId="1" fontId="26" fillId="4" borderId="1" xfId="0" applyNumberFormat="1" applyFont="1" applyFill="1" applyBorder="1" applyAlignment="1">
      <alignment horizontal="center" vertical="center"/>
    </xf>
    <xf numFmtId="2" fontId="39" fillId="4" borderId="1" xfId="0" applyNumberFormat="1" applyFont="1" applyFill="1" applyBorder="1"/>
    <xf numFmtId="2" fontId="33" fillId="4" borderId="7" xfId="0" applyNumberFormat="1" applyFont="1" applyFill="1" applyBorder="1" applyAlignment="1">
      <alignment horizontal="right" wrapText="1"/>
    </xf>
    <xf numFmtId="2" fontId="40" fillId="4" borderId="1" xfId="0" applyNumberFormat="1" applyFont="1" applyFill="1" applyBorder="1"/>
    <xf numFmtId="3" fontId="41" fillId="4" borderId="1" xfId="0" applyNumberFormat="1" applyFont="1" applyFill="1" applyBorder="1"/>
    <xf numFmtId="1" fontId="41" fillId="4" borderId="1" xfId="0" applyNumberFormat="1" applyFont="1" applyFill="1" applyBorder="1"/>
    <xf numFmtId="2" fontId="41" fillId="4" borderId="1" xfId="0" applyNumberFormat="1" applyFont="1" applyFill="1" applyBorder="1"/>
    <xf numFmtId="2" fontId="35" fillId="4" borderId="1" xfId="0" applyNumberFormat="1" applyFont="1" applyFill="1" applyBorder="1"/>
    <xf numFmtId="2" fontId="42" fillId="4" borderId="1" xfId="0" applyNumberFormat="1" applyFont="1" applyFill="1" applyBorder="1"/>
    <xf numFmtId="1" fontId="8" fillId="8" borderId="1" xfId="0" applyNumberFormat="1" applyFont="1" applyFill="1" applyBorder="1" applyAlignment="1"/>
    <xf numFmtId="1" fontId="8" fillId="8" borderId="1" xfId="0" applyNumberFormat="1" applyFont="1" applyFill="1" applyBorder="1" applyAlignment="1">
      <alignment horizontal="center"/>
    </xf>
    <xf numFmtId="1" fontId="8" fillId="8" borderId="1" xfId="0" applyNumberFormat="1" applyFont="1" applyFill="1" applyBorder="1" applyAlignment="1">
      <alignment horizontal="left"/>
    </xf>
    <xf numFmtId="4" fontId="3" fillId="8" borderId="1" xfId="0" applyNumberFormat="1" applyFont="1" applyFill="1" applyBorder="1" applyAlignment="1"/>
    <xf numFmtId="3" fontId="3" fillId="8" borderId="1" xfId="0" applyNumberFormat="1" applyFont="1" applyFill="1" applyBorder="1" applyAlignment="1"/>
    <xf numFmtId="0" fontId="8" fillId="8" borderId="1" xfId="0" applyFont="1" applyFill="1" applyBorder="1"/>
    <xf numFmtId="165" fontId="12" fillId="8" borderId="1" xfId="0" applyNumberFormat="1" applyFont="1" applyFill="1" applyBorder="1" applyAlignment="1">
      <alignment horizontal="right"/>
    </xf>
    <xf numFmtId="0" fontId="12" fillId="8" borderId="1" xfId="0" applyFont="1" applyFill="1" applyBorder="1" applyAlignment="1">
      <alignment horizontal="center"/>
    </xf>
    <xf numFmtId="165" fontId="4" fillId="8" borderId="1" xfId="0" applyNumberFormat="1" applyFont="1" applyFill="1" applyBorder="1" applyAlignment="1">
      <alignment horizontal="right"/>
    </xf>
    <xf numFmtId="4" fontId="4" fillId="9" borderId="1" xfId="0" applyNumberFormat="1" applyFont="1" applyFill="1" applyBorder="1" applyAlignment="1">
      <alignment horizontal="right"/>
    </xf>
    <xf numFmtId="1" fontId="2" fillId="9" borderId="1" xfId="0" applyNumberFormat="1" applyFont="1" applyFill="1" applyBorder="1" applyAlignment="1">
      <alignment horizontal="right"/>
    </xf>
    <xf numFmtId="1" fontId="2" fillId="9" borderId="1" xfId="0" applyNumberFormat="1" applyFont="1" applyFill="1" applyBorder="1" applyAlignment="1">
      <alignment horizontal="center"/>
    </xf>
    <xf numFmtId="1" fontId="2" fillId="9" borderId="1" xfId="0" applyNumberFormat="1" applyFont="1" applyFill="1" applyBorder="1" applyAlignment="1">
      <alignment horizontal="left"/>
    </xf>
    <xf numFmtId="166" fontId="4" fillId="9" borderId="1" xfId="0" applyNumberFormat="1" applyFont="1" applyFill="1" applyBorder="1" applyAlignment="1">
      <alignment horizontal="right"/>
    </xf>
    <xf numFmtId="0" fontId="2" fillId="0" borderId="1" xfId="6" applyNumberFormat="1" applyFont="1" applyFill="1" applyBorder="1" applyAlignment="1">
      <alignment horizontal="left"/>
    </xf>
    <xf numFmtId="1" fontId="2" fillId="10" borderId="1" xfId="0" applyNumberFormat="1" applyFont="1" applyFill="1" applyBorder="1" applyAlignment="1">
      <alignment horizontal="right"/>
    </xf>
    <xf numFmtId="1" fontId="2" fillId="10" borderId="1" xfId="0" applyNumberFormat="1" applyFont="1" applyFill="1" applyBorder="1" applyAlignment="1">
      <alignment horizontal="center"/>
    </xf>
    <xf numFmtId="1" fontId="2" fillId="10" borderId="1" xfId="0" applyNumberFormat="1" applyFont="1" applyFill="1" applyBorder="1" applyAlignment="1">
      <alignment horizontal="left"/>
    </xf>
    <xf numFmtId="4" fontId="2" fillId="10" borderId="1" xfId="0" applyNumberFormat="1" applyFont="1" applyFill="1" applyBorder="1" applyAlignment="1"/>
    <xf numFmtId="3" fontId="2" fillId="10" borderId="1" xfId="0" applyNumberFormat="1" applyFont="1" applyFill="1" applyBorder="1" applyAlignment="1"/>
    <xf numFmtId="0" fontId="2" fillId="10" borderId="1" xfId="0" applyFont="1" applyFill="1" applyBorder="1" applyAlignment="1">
      <alignment horizontal="center"/>
    </xf>
    <xf numFmtId="0" fontId="12" fillId="10" borderId="1" xfId="0" applyFont="1" applyFill="1" applyBorder="1" applyAlignment="1">
      <alignment horizontal="center"/>
    </xf>
    <xf numFmtId="2" fontId="0" fillId="10" borderId="1" xfId="0" applyNumberFormat="1" applyFill="1" applyBorder="1"/>
    <xf numFmtId="2" fontId="12" fillId="10" borderId="1" xfId="0" applyNumberFormat="1" applyFont="1" applyFill="1" applyBorder="1" applyAlignment="1">
      <alignment horizontal="center"/>
    </xf>
    <xf numFmtId="166" fontId="4" fillId="10" borderId="1" xfId="0" applyNumberFormat="1" applyFont="1" applyFill="1" applyBorder="1" applyAlignment="1">
      <alignment horizontal="right"/>
    </xf>
    <xf numFmtId="2" fontId="4" fillId="10" borderId="1" xfId="0" applyNumberFormat="1" applyFont="1" applyFill="1" applyBorder="1" applyAlignment="1">
      <alignment horizontal="right"/>
    </xf>
    <xf numFmtId="2" fontId="2" fillId="10" borderId="1" xfId="0" applyNumberFormat="1" applyFont="1" applyFill="1" applyBorder="1"/>
    <xf numFmtId="0" fontId="0" fillId="10" borderId="1" xfId="0" applyFill="1" applyBorder="1" applyAlignment="1">
      <alignment horizontal="center"/>
    </xf>
    <xf numFmtId="2" fontId="0" fillId="10" borderId="1" xfId="0" applyNumberFormat="1" applyFill="1" applyBorder="1" applyAlignment="1">
      <alignment horizontal="center"/>
    </xf>
    <xf numFmtId="4" fontId="0" fillId="10" borderId="1" xfId="0" applyNumberFormat="1" applyFill="1" applyBorder="1" applyAlignment="1">
      <alignment horizontal="center"/>
    </xf>
    <xf numFmtId="2" fontId="2" fillId="10" borderId="1" xfId="0" applyNumberFormat="1" applyFont="1" applyFill="1" applyBorder="1" applyAlignment="1">
      <alignment horizontal="center"/>
    </xf>
    <xf numFmtId="2" fontId="0" fillId="0" borderId="0" xfId="0" applyNumberFormat="1" applyFill="1" applyAlignment="1">
      <alignment horizontal="center"/>
    </xf>
    <xf numFmtId="1" fontId="2" fillId="11" borderId="1" xfId="0" applyNumberFormat="1" applyFont="1" applyFill="1" applyBorder="1" applyAlignment="1">
      <alignment horizontal="right"/>
    </xf>
    <xf numFmtId="1" fontId="2" fillId="11" borderId="1" xfId="0" applyNumberFormat="1" applyFont="1" applyFill="1" applyBorder="1" applyAlignment="1">
      <alignment horizontal="center"/>
    </xf>
    <xf numFmtId="1" fontId="2" fillId="11" borderId="1" xfId="0" applyNumberFormat="1" applyFont="1" applyFill="1" applyBorder="1" applyAlignment="1">
      <alignment horizontal="left"/>
    </xf>
    <xf numFmtId="4" fontId="2" fillId="11" borderId="1" xfId="0" applyNumberFormat="1" applyFont="1" applyFill="1" applyBorder="1" applyAlignment="1"/>
    <xf numFmtId="3" fontId="2" fillId="11" borderId="1" xfId="0" applyNumberFormat="1" applyFont="1" applyFill="1" applyBorder="1" applyAlignment="1"/>
    <xf numFmtId="0" fontId="2" fillId="11" borderId="1" xfId="0" applyFont="1" applyFill="1" applyBorder="1" applyAlignment="1">
      <alignment horizontal="center"/>
    </xf>
    <xf numFmtId="0" fontId="12" fillId="11" borderId="1" xfId="0" applyFont="1" applyFill="1" applyBorder="1" applyAlignment="1">
      <alignment horizontal="center"/>
    </xf>
    <xf numFmtId="2" fontId="0" fillId="11" borderId="1" xfId="0" applyNumberFormat="1" applyFill="1" applyBorder="1"/>
    <xf numFmtId="2" fontId="12" fillId="11" borderId="1" xfId="0" applyNumberFormat="1" applyFont="1" applyFill="1" applyBorder="1" applyAlignment="1">
      <alignment horizontal="center"/>
    </xf>
    <xf numFmtId="166" fontId="4" fillId="11" borderId="1" xfId="0" applyNumberFormat="1" applyFont="1" applyFill="1" applyBorder="1" applyAlignment="1">
      <alignment horizontal="right"/>
    </xf>
    <xf numFmtId="2" fontId="4" fillId="11" borderId="1" xfId="0" applyNumberFormat="1" applyFont="1" applyFill="1" applyBorder="1" applyAlignment="1">
      <alignment horizontal="right"/>
    </xf>
    <xf numFmtId="2" fontId="2" fillId="11" borderId="1" xfId="0" applyNumberFormat="1" applyFont="1" applyFill="1" applyBorder="1"/>
    <xf numFmtId="0" fontId="0" fillId="11" borderId="1" xfId="0" applyFill="1" applyBorder="1" applyAlignment="1">
      <alignment horizontal="center"/>
    </xf>
    <xf numFmtId="2" fontId="0" fillId="11" borderId="1" xfId="0" applyNumberFormat="1" applyFill="1" applyBorder="1" applyAlignment="1">
      <alignment horizontal="center"/>
    </xf>
    <xf numFmtId="4" fontId="0" fillId="11" borderId="1" xfId="0" applyNumberFormat="1" applyFill="1" applyBorder="1" applyAlignment="1">
      <alignment horizontal="center"/>
    </xf>
    <xf numFmtId="2" fontId="2" fillId="11" borderId="1" xfId="0" applyNumberFormat="1" applyFont="1" applyFill="1" applyBorder="1" applyAlignment="1">
      <alignment horizontal="center"/>
    </xf>
    <xf numFmtId="0" fontId="0" fillId="11" borderId="0" xfId="0" applyFill="1"/>
    <xf numFmtId="168" fontId="15" fillId="0" borderId="0" xfId="2" applyNumberFormat="1" applyFont="1" applyFill="1" applyAlignment="1" applyProtection="1">
      <alignment horizontal="left"/>
    </xf>
    <xf numFmtId="4" fontId="4" fillId="6" borderId="1" xfId="0" applyNumberFormat="1" applyFont="1" applyFill="1" applyBorder="1" applyAlignment="1">
      <alignment horizontal="right"/>
    </xf>
    <xf numFmtId="0" fontId="27" fillId="0" borderId="0" xfId="0" applyFont="1"/>
    <xf numFmtId="0" fontId="19" fillId="0" borderId="0" xfId="3" applyFont="1" applyFill="1" applyAlignment="1">
      <alignment horizontal="center"/>
    </xf>
    <xf numFmtId="14" fontId="18" fillId="0" borderId="0" xfId="0" applyNumberFormat="1" applyFont="1" applyAlignment="1">
      <alignment horizontal="left"/>
    </xf>
    <xf numFmtId="0" fontId="28" fillId="0" borderId="0" xfId="0" applyFont="1" applyAlignment="1"/>
    <xf numFmtId="0" fontId="21" fillId="0" borderId="0" xfId="3" applyFont="1" applyAlignment="1">
      <alignment horizontal="center"/>
    </xf>
    <xf numFmtId="0" fontId="21" fillId="0" borderId="0" xfId="3" applyFont="1" applyFill="1" applyAlignment="1">
      <alignment horizontal="center"/>
    </xf>
    <xf numFmtId="0" fontId="28" fillId="0" borderId="0" xfId="0" applyFont="1" applyFill="1" applyBorder="1" applyAlignment="1"/>
    <xf numFmtId="0" fontId="0" fillId="0" borderId="0" xfId="0" applyAlignment="1"/>
    <xf numFmtId="0" fontId="29" fillId="2" borderId="1" xfId="1" applyFont="1" applyFill="1" applyBorder="1" applyAlignment="1">
      <alignment horizontal="center" vertical="center" wrapText="1"/>
    </xf>
    <xf numFmtId="2" fontId="29" fillId="2" borderId="1" xfId="1" applyNumberFormat="1" applyFont="1" applyFill="1" applyBorder="1" applyAlignment="1">
      <alignment horizontal="center" vertical="center" wrapText="1"/>
    </xf>
    <xf numFmtId="2" fontId="29" fillId="12" borderId="1" xfId="4" applyNumberFormat="1" applyFont="1" applyFill="1" applyBorder="1" applyAlignment="1">
      <alignment horizontal="center" vertical="center" wrapText="1"/>
    </xf>
    <xf numFmtId="0" fontId="30" fillId="3" borderId="7" xfId="5" applyFont="1" applyFill="1" applyBorder="1" applyAlignment="1">
      <alignment horizontal="left" vertical="center" indent="1"/>
    </xf>
    <xf numFmtId="0" fontId="12" fillId="6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30" fillId="3" borderId="8" xfId="5" applyFont="1" applyFill="1" applyBorder="1" applyAlignment="1">
      <alignment horizontal="center" vertical="center"/>
    </xf>
    <xf numFmtId="0" fontId="12" fillId="0" borderId="1" xfId="5" applyNumberFormat="1" applyFont="1" applyFill="1" applyBorder="1" applyAlignment="1">
      <alignment horizontal="center" vertical="center" wrapText="1"/>
    </xf>
    <xf numFmtId="0" fontId="12" fillId="0" borderId="0" xfId="5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7" fillId="0" borderId="0" xfId="0" applyFont="1" applyAlignment="1">
      <alignment horizontal="left"/>
    </xf>
    <xf numFmtId="0" fontId="28" fillId="0" borderId="0" xfId="0" applyFont="1" applyFill="1" applyBorder="1" applyAlignment="1">
      <alignment horizontal="left"/>
    </xf>
    <xf numFmtId="0" fontId="12" fillId="0" borderId="0" xfId="0" applyFont="1" applyAlignment="1">
      <alignment horizontal="left"/>
    </xf>
    <xf numFmtId="3" fontId="12" fillId="0" borderId="1" xfId="1" applyNumberFormat="1" applyFont="1" applyFill="1" applyBorder="1" applyAlignment="1">
      <alignment horizontal="center" vertical="center"/>
    </xf>
    <xf numFmtId="3" fontId="12" fillId="0" borderId="0" xfId="1" applyNumberFormat="1" applyFont="1" applyFill="1" applyBorder="1" applyAlignment="1">
      <alignment horizontal="center" vertical="center"/>
    </xf>
    <xf numFmtId="2" fontId="43" fillId="0" borderId="0" xfId="0" applyNumberFormat="1" applyFont="1" applyAlignment="1">
      <alignment horizontal="center"/>
    </xf>
    <xf numFmtId="0" fontId="30" fillId="3" borderId="9" xfId="5" applyFont="1" applyFill="1" applyBorder="1" applyAlignment="1">
      <alignment horizontal="center" vertical="center"/>
    </xf>
    <xf numFmtId="4" fontId="18" fillId="12" borderId="1" xfId="1" applyNumberFormat="1" applyFont="1" applyFill="1" applyBorder="1" applyAlignment="1">
      <alignment horizontal="center" vertical="center"/>
    </xf>
    <xf numFmtId="0" fontId="30" fillId="3" borderId="8" xfId="5" applyFont="1" applyFill="1" applyBorder="1" applyAlignment="1">
      <alignment vertical="center"/>
    </xf>
    <xf numFmtId="0" fontId="12" fillId="0" borderId="0" xfId="0" applyFont="1" applyAlignment="1"/>
    <xf numFmtId="1" fontId="12" fillId="0" borderId="1" xfId="1" applyNumberFormat="1" applyFont="1" applyFill="1" applyBorder="1" applyAlignment="1">
      <alignment horizontal="center" vertical="center"/>
    </xf>
    <xf numFmtId="1" fontId="12" fillId="0" borderId="0" xfId="1" applyNumberFormat="1" applyFont="1" applyFill="1" applyBorder="1" applyAlignment="1">
      <alignment horizontal="center" vertical="center"/>
    </xf>
    <xf numFmtId="167" fontId="12" fillId="0" borderId="1" xfId="5" applyNumberFormat="1" applyFont="1" applyFill="1" applyBorder="1" applyAlignment="1">
      <alignment horizontal="center" vertical="center"/>
    </xf>
    <xf numFmtId="167" fontId="12" fillId="0" borderId="0" xfId="5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30" fillId="3" borderId="8" xfId="5" applyFont="1" applyFill="1" applyBorder="1" applyAlignment="1">
      <alignment horizontal="left" vertical="center"/>
    </xf>
    <xf numFmtId="0" fontId="12" fillId="0" borderId="0" xfId="5" applyFont="1" applyFill="1" applyBorder="1" applyAlignment="1">
      <alignment horizontal="left" vertical="center" wrapText="1"/>
    </xf>
    <xf numFmtId="49" fontId="12" fillId="0" borderId="0" xfId="5" applyNumberFormat="1" applyFont="1" applyFill="1" applyBorder="1" applyAlignment="1">
      <alignment horizontal="left" vertical="center"/>
    </xf>
    <xf numFmtId="0" fontId="12" fillId="0" borderId="0" xfId="5" applyFont="1" applyFill="1" applyBorder="1" applyAlignment="1">
      <alignment vertical="center" wrapText="1"/>
    </xf>
    <xf numFmtId="0" fontId="44" fillId="0" borderId="0" xfId="0" applyFont="1" applyFill="1" applyBorder="1" applyAlignment="1"/>
    <xf numFmtId="0" fontId="46" fillId="0" borderId="0" xfId="0" applyFont="1" applyAlignment="1"/>
    <xf numFmtId="0" fontId="0" fillId="0" borderId="0" xfId="0" applyAlignment="1"/>
    <xf numFmtId="0" fontId="47" fillId="0" borderId="0" xfId="0" applyNumberFormat="1" applyFont="1" applyFill="1" applyBorder="1" applyAlignment="1" applyProtection="1">
      <alignment vertical="top"/>
    </xf>
    <xf numFmtId="0" fontId="48" fillId="0" borderId="0" xfId="0" applyNumberFormat="1" applyFont="1" applyFill="1" applyBorder="1" applyAlignment="1" applyProtection="1">
      <alignment vertical="top"/>
    </xf>
    <xf numFmtId="49" fontId="12" fillId="0" borderId="1" xfId="5" applyNumberFormat="1" applyFont="1" applyFill="1" applyBorder="1" applyAlignment="1">
      <alignment horizontal="center" vertical="center"/>
    </xf>
    <xf numFmtId="0" fontId="45" fillId="0" borderId="0" xfId="0" applyNumberFormat="1" applyFont="1" applyFill="1" applyBorder="1" applyAlignment="1">
      <alignment horizontal="left" wrapText="1"/>
    </xf>
    <xf numFmtId="0" fontId="45" fillId="0" borderId="0" xfId="0" applyNumberFormat="1" applyFont="1" applyFill="1" applyBorder="1" applyAlignment="1">
      <alignment horizontal="left" wrapText="1"/>
    </xf>
    <xf numFmtId="0" fontId="27" fillId="0" borderId="0" xfId="0" applyFont="1" applyAlignment="1"/>
    <xf numFmtId="0" fontId="0" fillId="0" borderId="0" xfId="0" applyAlignment="1"/>
    <xf numFmtId="0" fontId="29" fillId="2" borderId="7" xfId="1" applyFont="1" applyFill="1" applyBorder="1" applyAlignment="1">
      <alignment horizontal="center" vertical="center" wrapText="1"/>
    </xf>
    <xf numFmtId="0" fontId="29" fillId="2" borderId="9" xfId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5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 wrapText="1"/>
    </xf>
    <xf numFmtId="49" fontId="12" fillId="0" borderId="0" xfId="5" applyNumberFormat="1" applyFont="1" applyFill="1" applyBorder="1" applyAlignment="1">
      <alignment horizontal="center" vertical="center"/>
    </xf>
    <xf numFmtId="4" fontId="18" fillId="6" borderId="0" xfId="1" applyNumberFormat="1" applyFont="1" applyFill="1" applyBorder="1" applyAlignment="1">
      <alignment horizontal="center" vertical="center"/>
    </xf>
  </cellXfs>
  <cellStyles count="7">
    <cellStyle name="Normal_Sheet1" xfId="1"/>
    <cellStyle name="Гиперссылка" xfId="2" builtinId="8"/>
    <cellStyle name="Обычный" xfId="0" builtinId="0"/>
    <cellStyle name="Обычный 2" xfId="3"/>
    <cellStyle name="Обычный_Price-list WB HBPTH KIPREVO_Msk" xfId="4"/>
    <cellStyle name="Обычный_Terca_Kiprevo_Msk" xfId="5"/>
    <cellStyle name="Процентный" xfId="6" builtinId="5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</xdr:row>
      <xdr:rowOff>38100</xdr:rowOff>
    </xdr:from>
    <xdr:to>
      <xdr:col>12</xdr:col>
      <xdr:colOff>647700</xdr:colOff>
      <xdr:row>1</xdr:row>
      <xdr:rowOff>38100</xdr:rowOff>
    </xdr:to>
    <xdr:pic>
      <xdr:nvPicPr>
        <xdr:cNvPr id="5473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763000" y="200025"/>
          <a:ext cx="1304925" cy="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0</xdr:colOff>
      <xdr:row>0</xdr:row>
      <xdr:rowOff>95250</xdr:rowOff>
    </xdr:from>
    <xdr:to>
      <xdr:col>12</xdr:col>
      <xdr:colOff>552450</xdr:colOff>
      <xdr:row>0</xdr:row>
      <xdr:rowOff>95250</xdr:rowOff>
    </xdr:to>
    <xdr:pic>
      <xdr:nvPicPr>
        <xdr:cNvPr id="5474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763000" y="95250"/>
          <a:ext cx="1209675" cy="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28575</xdr:colOff>
      <xdr:row>1</xdr:row>
      <xdr:rowOff>38100</xdr:rowOff>
    </xdr:from>
    <xdr:to>
      <xdr:col>8</xdr:col>
      <xdr:colOff>409575</xdr:colOff>
      <xdr:row>1</xdr:row>
      <xdr:rowOff>38100</xdr:rowOff>
    </xdr:to>
    <xdr:pic>
      <xdr:nvPicPr>
        <xdr:cNvPr id="5474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29325" y="200025"/>
          <a:ext cx="1323975" cy="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57150</xdr:colOff>
      <xdr:row>0</xdr:row>
      <xdr:rowOff>95250</xdr:rowOff>
    </xdr:from>
    <xdr:to>
      <xdr:col>8</xdr:col>
      <xdr:colOff>342900</xdr:colOff>
      <xdr:row>0</xdr:row>
      <xdr:rowOff>95250</xdr:rowOff>
    </xdr:to>
    <xdr:pic>
      <xdr:nvPicPr>
        <xdr:cNvPr id="5474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57900" y="95250"/>
          <a:ext cx="1228725" cy="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28575</xdr:colOff>
      <xdr:row>1</xdr:row>
      <xdr:rowOff>38100</xdr:rowOff>
    </xdr:from>
    <xdr:to>
      <xdr:col>9</xdr:col>
      <xdr:colOff>66675</xdr:colOff>
      <xdr:row>1</xdr:row>
      <xdr:rowOff>38100</xdr:rowOff>
    </xdr:to>
    <xdr:pic>
      <xdr:nvPicPr>
        <xdr:cNvPr id="5474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00800" y="200025"/>
          <a:ext cx="1228725" cy="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</xdr:colOff>
      <xdr:row>0</xdr:row>
      <xdr:rowOff>95250</xdr:rowOff>
    </xdr:from>
    <xdr:to>
      <xdr:col>9</xdr:col>
      <xdr:colOff>0</xdr:colOff>
      <xdr:row>0</xdr:row>
      <xdr:rowOff>95250</xdr:rowOff>
    </xdr:to>
    <xdr:pic>
      <xdr:nvPicPr>
        <xdr:cNvPr id="5474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95250"/>
          <a:ext cx="1133475" cy="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66675</xdr:rowOff>
    </xdr:from>
    <xdr:to>
      <xdr:col>7</xdr:col>
      <xdr:colOff>142875</xdr:colOff>
      <xdr:row>1</xdr:row>
      <xdr:rowOff>152400</xdr:rowOff>
    </xdr:to>
    <xdr:pic>
      <xdr:nvPicPr>
        <xdr:cNvPr id="547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514975" y="66675"/>
          <a:ext cx="1000125" cy="24765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28575</xdr:colOff>
      <xdr:row>1</xdr:row>
      <xdr:rowOff>38100</xdr:rowOff>
    </xdr:from>
    <xdr:to>
      <xdr:col>9</xdr:col>
      <xdr:colOff>114300</xdr:colOff>
      <xdr:row>1</xdr:row>
      <xdr:rowOff>38100</xdr:rowOff>
    </xdr:to>
    <xdr:pic>
      <xdr:nvPicPr>
        <xdr:cNvPr id="5474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00800" y="200025"/>
          <a:ext cx="1276350" cy="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</xdr:colOff>
      <xdr:row>0</xdr:row>
      <xdr:rowOff>95250</xdr:rowOff>
    </xdr:from>
    <xdr:to>
      <xdr:col>9</xdr:col>
      <xdr:colOff>47625</xdr:colOff>
      <xdr:row>0</xdr:row>
      <xdr:rowOff>95250</xdr:rowOff>
    </xdr:to>
    <xdr:pic>
      <xdr:nvPicPr>
        <xdr:cNvPr id="5474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95250"/>
          <a:ext cx="1181100" cy="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0</xdr:colOff>
      <xdr:row>1</xdr:row>
      <xdr:rowOff>38100</xdr:rowOff>
    </xdr:from>
    <xdr:to>
      <xdr:col>12</xdr:col>
      <xdr:colOff>638175</xdr:colOff>
      <xdr:row>1</xdr:row>
      <xdr:rowOff>38100</xdr:rowOff>
    </xdr:to>
    <xdr:pic>
      <xdr:nvPicPr>
        <xdr:cNvPr id="5474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763000" y="200025"/>
          <a:ext cx="1295400" cy="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0</xdr:colOff>
      <xdr:row>0</xdr:row>
      <xdr:rowOff>95250</xdr:rowOff>
    </xdr:from>
    <xdr:to>
      <xdr:col>12</xdr:col>
      <xdr:colOff>542925</xdr:colOff>
      <xdr:row>0</xdr:row>
      <xdr:rowOff>95250</xdr:rowOff>
    </xdr:to>
    <xdr:pic>
      <xdr:nvPicPr>
        <xdr:cNvPr id="547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763000" y="95250"/>
          <a:ext cx="1200150" cy="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28575</xdr:colOff>
      <xdr:row>1</xdr:row>
      <xdr:rowOff>38100</xdr:rowOff>
    </xdr:from>
    <xdr:to>
      <xdr:col>8</xdr:col>
      <xdr:colOff>180975</xdr:colOff>
      <xdr:row>1</xdr:row>
      <xdr:rowOff>38100</xdr:rowOff>
    </xdr:to>
    <xdr:pic>
      <xdr:nvPicPr>
        <xdr:cNvPr id="5475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29325" y="200025"/>
          <a:ext cx="1095375" cy="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57150</xdr:colOff>
      <xdr:row>0</xdr:row>
      <xdr:rowOff>95250</xdr:rowOff>
    </xdr:from>
    <xdr:to>
      <xdr:col>8</xdr:col>
      <xdr:colOff>114300</xdr:colOff>
      <xdr:row>0</xdr:row>
      <xdr:rowOff>95250</xdr:rowOff>
    </xdr:to>
    <xdr:pic>
      <xdr:nvPicPr>
        <xdr:cNvPr id="5475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57900" y="95250"/>
          <a:ext cx="1000125" cy="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28575</xdr:colOff>
      <xdr:row>1</xdr:row>
      <xdr:rowOff>38100</xdr:rowOff>
    </xdr:from>
    <xdr:to>
      <xdr:col>9</xdr:col>
      <xdr:colOff>66675</xdr:colOff>
      <xdr:row>1</xdr:row>
      <xdr:rowOff>38100</xdr:rowOff>
    </xdr:to>
    <xdr:pic>
      <xdr:nvPicPr>
        <xdr:cNvPr id="5475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00800" y="200025"/>
          <a:ext cx="1228725" cy="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</xdr:colOff>
      <xdr:row>0</xdr:row>
      <xdr:rowOff>95250</xdr:rowOff>
    </xdr:from>
    <xdr:to>
      <xdr:col>9</xdr:col>
      <xdr:colOff>0</xdr:colOff>
      <xdr:row>0</xdr:row>
      <xdr:rowOff>95250</xdr:rowOff>
    </xdr:to>
    <xdr:pic>
      <xdr:nvPicPr>
        <xdr:cNvPr id="5475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95250"/>
          <a:ext cx="1133475" cy="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66675</xdr:rowOff>
    </xdr:from>
    <xdr:to>
      <xdr:col>7</xdr:col>
      <xdr:colOff>142875</xdr:colOff>
      <xdr:row>1</xdr:row>
      <xdr:rowOff>152400</xdr:rowOff>
    </xdr:to>
    <xdr:pic>
      <xdr:nvPicPr>
        <xdr:cNvPr id="5475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514975" y="66675"/>
          <a:ext cx="1000125" cy="24765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28575</xdr:colOff>
      <xdr:row>1</xdr:row>
      <xdr:rowOff>38100</xdr:rowOff>
    </xdr:from>
    <xdr:to>
      <xdr:col>9</xdr:col>
      <xdr:colOff>142875</xdr:colOff>
      <xdr:row>1</xdr:row>
      <xdr:rowOff>38100</xdr:rowOff>
    </xdr:to>
    <xdr:pic>
      <xdr:nvPicPr>
        <xdr:cNvPr id="5537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00800" y="200025"/>
          <a:ext cx="1333500" cy="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</xdr:colOff>
      <xdr:row>0</xdr:row>
      <xdr:rowOff>95250</xdr:rowOff>
    </xdr:from>
    <xdr:to>
      <xdr:col>9</xdr:col>
      <xdr:colOff>76200</xdr:colOff>
      <xdr:row>0</xdr:row>
      <xdr:rowOff>95250</xdr:rowOff>
    </xdr:to>
    <xdr:pic>
      <xdr:nvPicPr>
        <xdr:cNvPr id="5537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95250"/>
          <a:ext cx="1238250" cy="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19050</xdr:colOff>
      <xdr:row>0</xdr:row>
      <xdr:rowOff>104775</xdr:rowOff>
    </xdr:from>
    <xdr:to>
      <xdr:col>10</xdr:col>
      <xdr:colOff>438150</xdr:colOff>
      <xdr:row>2</xdr:row>
      <xdr:rowOff>28575</xdr:rowOff>
    </xdr:to>
    <xdr:pic>
      <xdr:nvPicPr>
        <xdr:cNvPr id="5537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10475" y="104775"/>
          <a:ext cx="1028700" cy="24765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638175</xdr:colOff>
      <xdr:row>2</xdr:row>
      <xdr:rowOff>152400</xdr:rowOff>
    </xdr:to>
    <xdr:pic>
      <xdr:nvPicPr>
        <xdr:cNvPr id="52371" name="Рисунок 23" descr="WB_Fo_4C_mS_NEU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0"/>
          <a:ext cx="15049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142875</xdr:colOff>
      <xdr:row>0</xdr:row>
      <xdr:rowOff>85725</xdr:rowOff>
    </xdr:from>
    <xdr:to>
      <xdr:col>8</xdr:col>
      <xdr:colOff>827018</xdr:colOff>
      <xdr:row>3</xdr:row>
      <xdr:rowOff>159307</xdr:rowOff>
    </xdr:to>
    <xdr:pic>
      <xdr:nvPicPr>
        <xdr:cNvPr id="5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76900" y="85725"/>
          <a:ext cx="684143" cy="6450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209550</xdr:colOff>
      <xdr:row>0</xdr:row>
      <xdr:rowOff>123825</xdr:rowOff>
    </xdr:from>
    <xdr:to>
      <xdr:col>4</xdr:col>
      <xdr:colOff>334736</xdr:colOff>
      <xdr:row>2</xdr:row>
      <xdr:rowOff>57150</xdr:rowOff>
    </xdr:to>
    <xdr:pic>
      <xdr:nvPicPr>
        <xdr:cNvPr id="6" name="Рисунок 6" descr="Terca_Fl_4C_oS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43100" y="123825"/>
          <a:ext cx="1392011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tock.rbc.ru/demo/cb.0/daily/USD.rus.shtml?show=3M" TargetMode="External"/><Relationship Id="rId2" Type="http://schemas.openxmlformats.org/officeDocument/2006/relationships/hyperlink" Target="http://stock.rbc.ru/demo/cb.0/daily/EUR.rus.shtml?show=3M" TargetMode="External"/><Relationship Id="rId1" Type="http://schemas.openxmlformats.org/officeDocument/2006/relationships/hyperlink" Target="http://stock.rbc.ru/demo/forex.9/daily/EUR_USD.rus.shtml?show=1M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://www.lode.lv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stock.rbc.ru/demo/cb.0/daily/USD.rus.shtml?show=3M" TargetMode="External"/><Relationship Id="rId2" Type="http://schemas.openxmlformats.org/officeDocument/2006/relationships/hyperlink" Target="http://stock.rbc.ru/demo/cb.0/daily/EUR.rus.shtml?show=3M" TargetMode="External"/><Relationship Id="rId1" Type="http://schemas.openxmlformats.org/officeDocument/2006/relationships/hyperlink" Target="http://stock.rbc.ru/demo/forex.9/daily/EUR_USD.rus.shtml?show=1M" TargetMode="External"/><Relationship Id="rId5" Type="http://schemas.openxmlformats.org/officeDocument/2006/relationships/drawing" Target="../drawings/drawing2.xml"/><Relationship Id="rId4" Type="http://schemas.openxmlformats.org/officeDocument/2006/relationships/hyperlink" Target="http://www.lode.lv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0"/>
  <sheetViews>
    <sheetView workbookViewId="0">
      <pane ySplit="9" topLeftCell="A32" activePane="bottomLeft" state="frozen"/>
      <selection pane="bottomLeft" activeCell="A11" sqref="A11:M100"/>
    </sheetView>
  </sheetViews>
  <sheetFormatPr defaultRowHeight="12.75" x14ac:dyDescent="0.2"/>
  <cols>
    <col min="1" max="1" width="11.28515625" style="56" customWidth="1"/>
    <col min="2" max="2" width="13.85546875" style="56" customWidth="1"/>
    <col min="3" max="3" width="27" style="56" customWidth="1"/>
    <col min="4" max="4" width="17.85546875" style="56" customWidth="1"/>
    <col min="5" max="5" width="12.7109375" style="56" customWidth="1"/>
    <col min="6" max="6" width="7.28515625" style="56" customWidth="1"/>
    <col min="7" max="7" width="5.5703125" style="56" customWidth="1"/>
    <col min="8" max="8" width="8.5703125" style="56" customWidth="1"/>
    <col min="9" max="9" width="9.28515625" style="56" customWidth="1"/>
    <col min="10" max="10" width="8.5703125" style="56" customWidth="1"/>
    <col min="11" max="11" width="9.42578125" style="56" customWidth="1"/>
    <col min="12" max="12" width="9.85546875" style="56" customWidth="1"/>
    <col min="13" max="16" width="11.28515625" style="56" customWidth="1"/>
    <col min="17" max="17" width="8.85546875" style="56" customWidth="1"/>
    <col min="18" max="18" width="7.42578125" style="60" customWidth="1"/>
    <col min="19" max="19" width="11.7109375" style="60" customWidth="1"/>
    <col min="20" max="20" width="9.28515625" style="60" customWidth="1"/>
    <col min="21" max="21" width="9.28515625" style="66" customWidth="1"/>
    <col min="22" max="22" width="10.85546875" style="66" customWidth="1"/>
    <col min="23" max="23" width="11.42578125" style="60" customWidth="1"/>
    <col min="24" max="24" width="9.28515625" style="60" customWidth="1"/>
    <col min="25" max="25" width="10.42578125" style="60" customWidth="1"/>
    <col min="26" max="26" width="11.85546875" style="60" customWidth="1"/>
    <col min="27" max="27" width="9.5703125" style="66" customWidth="1"/>
    <col min="28" max="29" width="14.7109375" style="60" customWidth="1"/>
    <col min="30" max="30" width="9.28515625" style="60" customWidth="1"/>
    <col min="31" max="31" width="12.140625" style="60" customWidth="1"/>
    <col min="32" max="32" width="12.5703125" style="60" customWidth="1"/>
    <col min="33" max="33" width="15.5703125" style="60" customWidth="1"/>
    <col min="34" max="16384" width="9.140625" style="56"/>
  </cols>
  <sheetData>
    <row r="1" spans="1:33" x14ac:dyDescent="0.2">
      <c r="G1" s="57"/>
      <c r="S1" s="61" t="s">
        <v>201</v>
      </c>
      <c r="T1" s="62">
        <v>1.226</v>
      </c>
    </row>
    <row r="2" spans="1:33" s="1" customFormat="1" x14ac:dyDescent="0.2">
      <c r="A2" s="51" t="s">
        <v>207</v>
      </c>
      <c r="B2" s="2"/>
      <c r="C2" s="2" t="s">
        <v>211</v>
      </c>
      <c r="D2" s="2"/>
      <c r="E2" s="2"/>
      <c r="G2" s="48"/>
      <c r="H2" s="2"/>
      <c r="I2" s="2"/>
      <c r="J2" s="2"/>
      <c r="K2" s="2"/>
      <c r="S2" s="61" t="s">
        <v>200</v>
      </c>
      <c r="T2" s="228">
        <v>37.4206</v>
      </c>
      <c r="U2" s="59"/>
      <c r="V2" s="59"/>
      <c r="W2" s="3"/>
      <c r="X2" s="3"/>
      <c r="Y2" s="3"/>
      <c r="Z2" s="3"/>
      <c r="AA2" s="59"/>
      <c r="AB2" s="3"/>
      <c r="AC2" s="3"/>
      <c r="AD2" s="3"/>
      <c r="AE2" s="3"/>
      <c r="AF2" s="3"/>
      <c r="AG2" s="3"/>
    </row>
    <row r="3" spans="1:33" s="1" customFormat="1" x14ac:dyDescent="0.2">
      <c r="A3" s="2" t="s">
        <v>187</v>
      </c>
      <c r="B3" s="2"/>
      <c r="C3" s="2"/>
      <c r="D3" s="2"/>
      <c r="E3" s="6"/>
      <c r="F3" s="6" t="s">
        <v>188</v>
      </c>
      <c r="G3" s="49"/>
      <c r="J3" s="6"/>
      <c r="K3" s="6"/>
      <c r="S3" s="61" t="s">
        <v>202</v>
      </c>
      <c r="T3" s="228">
        <v>30.6953</v>
      </c>
      <c r="U3" s="59"/>
      <c r="V3" s="59"/>
      <c r="W3" s="3"/>
      <c r="X3" s="3"/>
      <c r="Y3" s="3"/>
      <c r="Z3" s="3"/>
      <c r="AA3" s="59"/>
      <c r="AB3" s="3"/>
      <c r="AC3" s="3"/>
      <c r="AD3" s="3"/>
      <c r="AE3" s="3"/>
      <c r="AF3" s="3"/>
      <c r="AG3" s="3"/>
    </row>
    <row r="4" spans="1:33" s="1" customFormat="1" ht="13.5" thickBot="1" x14ac:dyDescent="0.25">
      <c r="A4" s="2"/>
      <c r="B4" s="2"/>
      <c r="C4" s="2"/>
      <c r="D4" s="2"/>
      <c r="E4" s="6"/>
      <c r="F4" s="6"/>
      <c r="G4" s="49"/>
      <c r="J4" s="6"/>
      <c r="K4" s="6"/>
      <c r="S4" s="61"/>
      <c r="T4" s="63"/>
      <c r="U4" s="59"/>
      <c r="V4" s="59"/>
      <c r="W4" s="3"/>
      <c r="X4" s="3"/>
      <c r="Y4" s="3"/>
      <c r="Z4" s="3"/>
      <c r="AA4" s="59"/>
      <c r="AB4" s="3"/>
      <c r="AC4" s="3"/>
      <c r="AD4" s="3"/>
      <c r="AE4" s="3"/>
      <c r="AF4" s="3"/>
      <c r="AG4" s="3"/>
    </row>
    <row r="5" spans="1:33" s="1" customFormat="1" ht="13.5" thickBot="1" x14ac:dyDescent="0.25">
      <c r="A5" s="92" t="s">
        <v>208</v>
      </c>
      <c r="B5" s="2" t="s">
        <v>218</v>
      </c>
      <c r="C5" s="2"/>
      <c r="D5" s="2"/>
      <c r="G5" s="48"/>
      <c r="S5" s="61"/>
      <c r="T5" s="63"/>
      <c r="U5" s="59"/>
      <c r="V5" s="59"/>
      <c r="W5" s="3"/>
      <c r="X5" s="3"/>
      <c r="Y5" s="3"/>
      <c r="Z5" s="3"/>
      <c r="AA5" s="59"/>
      <c r="AB5" s="3"/>
      <c r="AC5" s="3"/>
      <c r="AD5" s="3"/>
      <c r="AE5" s="3"/>
      <c r="AF5" s="3"/>
      <c r="AG5" s="3"/>
    </row>
    <row r="6" spans="1:33" s="1" customFormat="1" ht="13.5" thickBot="1" x14ac:dyDescent="0.25">
      <c r="A6" s="91"/>
      <c r="B6" s="2" t="s">
        <v>219</v>
      </c>
      <c r="C6" s="2"/>
      <c r="D6" s="2"/>
      <c r="G6" s="48"/>
      <c r="U6" s="59"/>
      <c r="V6" s="59"/>
      <c r="W6" s="3"/>
      <c r="X6" s="3"/>
      <c r="Y6" s="3"/>
      <c r="Z6" s="3"/>
      <c r="AA6" s="59"/>
      <c r="AB6" s="3"/>
      <c r="AC6" s="3"/>
      <c r="AD6" s="3"/>
      <c r="AE6" s="3"/>
      <c r="AF6" s="3"/>
      <c r="AG6" s="3"/>
    </row>
    <row r="7" spans="1:33" x14ac:dyDescent="0.2">
      <c r="Z7" s="66"/>
    </row>
    <row r="8" spans="1:33" ht="89.25" x14ac:dyDescent="0.2">
      <c r="A8" s="37" t="s">
        <v>168</v>
      </c>
      <c r="B8" s="37" t="s">
        <v>45</v>
      </c>
      <c r="C8" s="37" t="s">
        <v>46</v>
      </c>
      <c r="D8" s="37" t="s">
        <v>47</v>
      </c>
      <c r="E8" s="37" t="s">
        <v>190</v>
      </c>
      <c r="F8" s="37" t="s">
        <v>80</v>
      </c>
      <c r="G8" s="37" t="s">
        <v>48</v>
      </c>
      <c r="H8" s="37" t="s">
        <v>81</v>
      </c>
      <c r="I8" s="37" t="s">
        <v>82</v>
      </c>
      <c r="J8" s="37" t="s">
        <v>83</v>
      </c>
      <c r="K8" s="37" t="s">
        <v>203</v>
      </c>
      <c r="L8" s="37" t="s">
        <v>204</v>
      </c>
      <c r="M8" s="37" t="s">
        <v>220</v>
      </c>
      <c r="N8" s="37"/>
      <c r="O8" s="37"/>
      <c r="P8" s="37" t="s">
        <v>220</v>
      </c>
      <c r="Q8" s="37" t="s">
        <v>212</v>
      </c>
      <c r="R8" s="37" t="s">
        <v>213</v>
      </c>
      <c r="S8" s="37" t="s">
        <v>199</v>
      </c>
      <c r="T8" s="37" t="s">
        <v>194</v>
      </c>
      <c r="U8" s="68" t="s">
        <v>205</v>
      </c>
      <c r="V8" s="68" t="s">
        <v>198</v>
      </c>
      <c r="W8" s="37" t="s">
        <v>206</v>
      </c>
      <c r="X8" s="37" t="s">
        <v>195</v>
      </c>
      <c r="Y8" s="37" t="s">
        <v>193</v>
      </c>
      <c r="Z8" s="37" t="s">
        <v>197</v>
      </c>
      <c r="AA8" s="68" t="s">
        <v>210</v>
      </c>
      <c r="AB8" s="37" t="s">
        <v>214</v>
      </c>
      <c r="AC8" s="37" t="s">
        <v>215</v>
      </c>
      <c r="AD8" s="37" t="s">
        <v>196</v>
      </c>
      <c r="AE8" s="37" t="s">
        <v>217</v>
      </c>
      <c r="AF8" s="37" t="s">
        <v>192</v>
      </c>
      <c r="AG8" s="37" t="s">
        <v>209</v>
      </c>
    </row>
    <row r="9" spans="1:33" ht="12.75" customHeight="1" thickBot="1" x14ac:dyDescent="0.25">
      <c r="A9" s="69"/>
      <c r="B9" s="69" t="s">
        <v>49</v>
      </c>
      <c r="C9" s="69"/>
      <c r="D9" s="69"/>
      <c r="E9" s="69"/>
      <c r="F9" s="69"/>
      <c r="G9" s="69" t="s">
        <v>50</v>
      </c>
      <c r="H9" s="69" t="s">
        <v>51</v>
      </c>
      <c r="I9" s="69" t="s">
        <v>84</v>
      </c>
      <c r="J9" s="69" t="s">
        <v>84</v>
      </c>
      <c r="K9" s="69"/>
      <c r="L9" s="69"/>
      <c r="M9" s="69" t="s">
        <v>191</v>
      </c>
      <c r="N9" s="69"/>
      <c r="O9" s="69"/>
      <c r="P9" s="69" t="s">
        <v>216</v>
      </c>
      <c r="Q9" s="70"/>
      <c r="R9" s="71"/>
      <c r="S9" s="72">
        <f>$T$3</f>
        <v>30.6953</v>
      </c>
      <c r="T9" s="73"/>
      <c r="U9" s="77">
        <v>43</v>
      </c>
      <c r="V9" s="77">
        <v>1000</v>
      </c>
      <c r="W9" s="74">
        <v>50</v>
      </c>
      <c r="X9" s="72">
        <v>9000</v>
      </c>
      <c r="Y9" s="73">
        <v>0</v>
      </c>
      <c r="Z9" s="74">
        <v>130</v>
      </c>
      <c r="AA9" s="77">
        <v>100</v>
      </c>
      <c r="AB9" s="79">
        <v>0.2</v>
      </c>
      <c r="AC9" s="79">
        <v>0.18</v>
      </c>
      <c r="AD9" s="72">
        <v>500</v>
      </c>
      <c r="AE9" s="75">
        <v>1.03</v>
      </c>
      <c r="AF9" s="76"/>
      <c r="AG9" s="78"/>
    </row>
    <row r="10" spans="1:33" ht="12.75" customHeight="1" x14ac:dyDescent="0.2">
      <c r="A10" s="81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2"/>
      <c r="M10" s="82"/>
      <c r="N10" s="82"/>
      <c r="O10" s="82"/>
      <c r="P10" s="82"/>
      <c r="Q10" s="83"/>
      <c r="R10" s="84"/>
      <c r="S10" s="85"/>
      <c r="T10" s="86"/>
      <c r="U10" s="87"/>
      <c r="V10" s="87"/>
      <c r="W10" s="88"/>
      <c r="X10" s="85"/>
      <c r="Y10" s="86"/>
      <c r="Z10" s="88"/>
      <c r="AA10" s="87"/>
      <c r="AB10" s="89"/>
      <c r="AC10" s="89"/>
      <c r="AD10" s="85"/>
      <c r="AE10" s="90"/>
      <c r="AF10" s="80"/>
      <c r="AG10" s="3"/>
    </row>
    <row r="11" spans="1:33" ht="15" x14ac:dyDescent="0.25">
      <c r="A11" s="15" t="s">
        <v>52</v>
      </c>
      <c r="B11" s="16"/>
      <c r="C11" s="17"/>
      <c r="D11" s="17"/>
      <c r="E11" s="17"/>
      <c r="F11" s="16"/>
      <c r="G11" s="18"/>
      <c r="H11" s="19"/>
      <c r="I11" s="20"/>
      <c r="J11" s="21"/>
      <c r="K11" s="21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</row>
    <row r="12" spans="1:33" x14ac:dyDescent="0.2">
      <c r="A12" s="22" t="s">
        <v>85</v>
      </c>
      <c r="B12" s="23" t="s">
        <v>0</v>
      </c>
      <c r="C12" s="5" t="s">
        <v>1</v>
      </c>
      <c r="D12" s="5" t="s">
        <v>56</v>
      </c>
      <c r="E12" s="5" t="s">
        <v>57</v>
      </c>
      <c r="F12" s="23" t="s">
        <v>2</v>
      </c>
      <c r="G12" s="24">
        <v>4.0999999999999996</v>
      </c>
      <c r="H12" s="25">
        <v>308</v>
      </c>
      <c r="I12" s="8">
        <v>17</v>
      </c>
      <c r="J12" s="35">
        <v>5236</v>
      </c>
      <c r="K12" s="54">
        <f>G12*J12</f>
        <v>21467.599999999999</v>
      </c>
      <c r="L12" s="50">
        <f>(G12*J12)+(I12*20)</f>
        <v>21807.599999999999</v>
      </c>
      <c r="M12" s="26">
        <v>459</v>
      </c>
      <c r="N12" s="58">
        <v>459</v>
      </c>
      <c r="O12" s="26">
        <f>M12-N12</f>
        <v>0</v>
      </c>
      <c r="P12" s="58">
        <f>M12*J12*$T$2/1000</f>
        <v>89933.826074400014</v>
      </c>
      <c r="Q12" s="65">
        <f>M12/1000/G12*$T$1</f>
        <v>0.13725219512195125</v>
      </c>
      <c r="R12" s="52">
        <v>0.17</v>
      </c>
      <c r="S12" s="53">
        <f>G12*J12*R12*$T$3</f>
        <v>112022.25178760001</v>
      </c>
      <c r="T12" s="55">
        <f>$T$9</f>
        <v>0</v>
      </c>
      <c r="U12" s="50">
        <f>$U$9*$T$2</f>
        <v>1609.0858000000001</v>
      </c>
      <c r="V12" s="50">
        <f>$V$9*$T$2</f>
        <v>37420.6</v>
      </c>
      <c r="W12" s="53">
        <f>$W$9*$T$2</f>
        <v>1871.03</v>
      </c>
      <c r="X12" s="53">
        <f>$X$9</f>
        <v>9000</v>
      </c>
      <c r="Y12" s="55">
        <f>$Y$9</f>
        <v>0</v>
      </c>
      <c r="Z12" s="53">
        <f>$Z$9*$T$2</f>
        <v>4864.6779999999999</v>
      </c>
      <c r="AA12" s="50">
        <f>$AA$9*$T$2*$AE$9</f>
        <v>3854.3218000000002</v>
      </c>
      <c r="AB12" s="67">
        <f>S12*$AB$9</f>
        <v>22404.450357520003</v>
      </c>
      <c r="AC12" s="67">
        <f>(S12+AB12)*$AC$9</f>
        <v>24196.8063861216</v>
      </c>
      <c r="AD12" s="53">
        <f>$AD$9</f>
        <v>500</v>
      </c>
      <c r="AE12" s="53">
        <f>(P12+T12+U12+V12+W12+X12+Y12+Z12+AB12+AC12+AD12)*$AE$9</f>
        <v>197554.49091658287</v>
      </c>
      <c r="AF12" s="53">
        <f>AE12/J12</f>
        <v>37.730040282005895</v>
      </c>
      <c r="AG12" s="67">
        <f>AA12/J12+AF12</f>
        <v>38.466159800722473</v>
      </c>
    </row>
    <row r="13" spans="1:33" x14ac:dyDescent="0.2">
      <c r="A13" s="27"/>
      <c r="B13" s="8"/>
      <c r="C13" s="9"/>
      <c r="D13" s="9"/>
      <c r="E13" s="9"/>
      <c r="F13" s="8"/>
      <c r="G13" s="24"/>
      <c r="H13" s="25"/>
      <c r="I13" s="8"/>
      <c r="J13" s="36"/>
      <c r="K13" s="54"/>
      <c r="L13" s="50"/>
      <c r="M13" s="29"/>
      <c r="N13" s="58"/>
      <c r="O13" s="26">
        <f t="shared" ref="O13:O76" si="0">M13-N13</f>
        <v>0</v>
      </c>
      <c r="P13" s="58"/>
      <c r="Q13" s="65"/>
      <c r="R13" s="52"/>
      <c r="S13" s="53"/>
      <c r="T13" s="55"/>
      <c r="U13" s="50"/>
      <c r="V13" s="50"/>
      <c r="W13" s="53"/>
      <c r="X13" s="53"/>
      <c r="Y13" s="55"/>
      <c r="Z13" s="53"/>
      <c r="AA13" s="50"/>
      <c r="AB13" s="67"/>
      <c r="AC13" s="67"/>
      <c r="AD13" s="53"/>
      <c r="AE13" s="53"/>
      <c r="AF13" s="53"/>
      <c r="AG13" s="67"/>
    </row>
    <row r="14" spans="1:33" x14ac:dyDescent="0.2">
      <c r="A14" s="22" t="s">
        <v>86</v>
      </c>
      <c r="B14" s="23" t="s">
        <v>4</v>
      </c>
      <c r="C14" s="5" t="s">
        <v>1</v>
      </c>
      <c r="D14" s="5" t="s">
        <v>56</v>
      </c>
      <c r="E14" s="5" t="s">
        <v>57</v>
      </c>
      <c r="F14" s="23" t="s">
        <v>2</v>
      </c>
      <c r="G14" s="24">
        <v>3.15</v>
      </c>
      <c r="H14" s="25">
        <v>416</v>
      </c>
      <c r="I14" s="8">
        <v>16</v>
      </c>
      <c r="J14" s="35">
        <v>6656</v>
      </c>
      <c r="K14" s="54">
        <f t="shared" ref="K14:K67" si="1">G14*J14</f>
        <v>20966.399999999998</v>
      </c>
      <c r="L14" s="50">
        <f t="shared" ref="L14:L67" si="2">(G14*J14)+(I14*20)</f>
        <v>21286.399999999998</v>
      </c>
      <c r="M14" s="26">
        <v>275</v>
      </c>
      <c r="N14" s="58">
        <v>275</v>
      </c>
      <c r="O14" s="26">
        <f t="shared" si="0"/>
        <v>0</v>
      </c>
      <c r="P14" s="58">
        <f t="shared" ref="P14:P19" si="3">M14*J14*$T$2/1000</f>
        <v>68494.666239999991</v>
      </c>
      <c r="Q14" s="65">
        <f t="shared" ref="Q14:Q19" si="4">M14/1000/G14*$T$1</f>
        <v>0.10703174603174605</v>
      </c>
      <c r="R14" s="52">
        <v>0.17</v>
      </c>
      <c r="S14" s="53">
        <f t="shared" ref="S14:S19" si="5">G14*J14*R14*$T$3</f>
        <v>109406.8894464</v>
      </c>
      <c r="T14" s="55">
        <f t="shared" ref="T14:T19" si="6">$T$9</f>
        <v>0</v>
      </c>
      <c r="U14" s="50">
        <f t="shared" ref="U14:U19" si="7">$U$9*$T$2</f>
        <v>1609.0858000000001</v>
      </c>
      <c r="V14" s="50">
        <f t="shared" ref="V14:V19" si="8">$V$9*$T$2</f>
        <v>37420.6</v>
      </c>
      <c r="W14" s="53">
        <f t="shared" ref="W14:W19" si="9">$W$9*$T$2</f>
        <v>1871.03</v>
      </c>
      <c r="X14" s="53">
        <f t="shared" ref="X14:X19" si="10">$X$9</f>
        <v>9000</v>
      </c>
      <c r="Y14" s="55">
        <f t="shared" ref="Y14:Y19" si="11">$Y$9</f>
        <v>0</v>
      </c>
      <c r="Z14" s="53">
        <f t="shared" ref="Z14:Z19" si="12">$Z$9*$T$2</f>
        <v>4864.6779999999999</v>
      </c>
      <c r="AA14" s="50">
        <f t="shared" ref="AA14:AA19" si="13">$AA$9*$T$2*$AE$9</f>
        <v>3854.3218000000002</v>
      </c>
      <c r="AB14" s="67">
        <f t="shared" ref="AB14:AB19" si="14">S14*$AB$9</f>
        <v>21881.377889280004</v>
      </c>
      <c r="AC14" s="67">
        <f t="shared" ref="AC14:AC19" si="15">(S14+AB14)*$AC$9</f>
        <v>23631.888120422402</v>
      </c>
      <c r="AD14" s="53">
        <f t="shared" ref="AD14:AD19" si="16">$AD$9</f>
        <v>500</v>
      </c>
      <c r="AE14" s="53">
        <f t="shared" ref="AE14:AE19" si="17">(P14+T14+U14+V14+W14+X14+Y14+Z14+AB14+AC14+AD14)*$AE$9</f>
        <v>174351.52583119346</v>
      </c>
      <c r="AF14" s="53">
        <f t="shared" ref="AF14:AF19" si="18">AE14/J14</f>
        <v>26.194640299157673</v>
      </c>
      <c r="AG14" s="67">
        <f t="shared" ref="AG14:AG19" si="19">AA14/J14+AF14</f>
        <v>26.773715088821135</v>
      </c>
    </row>
    <row r="15" spans="1:33" x14ac:dyDescent="0.2">
      <c r="A15" s="22" t="s">
        <v>87</v>
      </c>
      <c r="B15" s="23" t="s">
        <v>4</v>
      </c>
      <c r="C15" s="5" t="s">
        <v>5</v>
      </c>
      <c r="D15" s="5" t="s">
        <v>59</v>
      </c>
      <c r="E15" s="5" t="s">
        <v>57</v>
      </c>
      <c r="F15" s="23" t="s">
        <v>2</v>
      </c>
      <c r="G15" s="24">
        <v>3.2</v>
      </c>
      <c r="H15" s="25">
        <v>416</v>
      </c>
      <c r="I15" s="8">
        <v>16</v>
      </c>
      <c r="J15" s="35">
        <v>6656</v>
      </c>
      <c r="K15" s="54">
        <f t="shared" si="1"/>
        <v>21299.200000000001</v>
      </c>
      <c r="L15" s="50">
        <f t="shared" si="2"/>
        <v>21619.200000000001</v>
      </c>
      <c r="M15" s="26">
        <v>352</v>
      </c>
      <c r="N15" s="58">
        <v>352</v>
      </c>
      <c r="O15" s="26">
        <f t="shared" si="0"/>
        <v>0</v>
      </c>
      <c r="P15" s="58">
        <f t="shared" si="3"/>
        <v>87673.172787200005</v>
      </c>
      <c r="Q15" s="65">
        <f t="shared" si="4"/>
        <v>0.13485999999999998</v>
      </c>
      <c r="R15" s="52">
        <v>0.17</v>
      </c>
      <c r="S15" s="53">
        <f t="shared" si="5"/>
        <v>111143.50673920002</v>
      </c>
      <c r="T15" s="55">
        <f t="shared" si="6"/>
        <v>0</v>
      </c>
      <c r="U15" s="50">
        <f t="shared" si="7"/>
        <v>1609.0858000000001</v>
      </c>
      <c r="V15" s="50">
        <f t="shared" si="8"/>
        <v>37420.6</v>
      </c>
      <c r="W15" s="53">
        <f t="shared" si="9"/>
        <v>1871.03</v>
      </c>
      <c r="X15" s="53">
        <f t="shared" si="10"/>
        <v>9000</v>
      </c>
      <c r="Y15" s="55">
        <f t="shared" si="11"/>
        <v>0</v>
      </c>
      <c r="Z15" s="53">
        <f t="shared" si="12"/>
        <v>4864.6779999999999</v>
      </c>
      <c r="AA15" s="50">
        <f t="shared" si="13"/>
        <v>3854.3218000000002</v>
      </c>
      <c r="AB15" s="67">
        <f t="shared" si="14"/>
        <v>22228.701347840004</v>
      </c>
      <c r="AC15" s="67">
        <f t="shared" si="15"/>
        <v>24006.997455667202</v>
      </c>
      <c r="AD15" s="53">
        <f t="shared" si="16"/>
        <v>500</v>
      </c>
      <c r="AE15" s="53">
        <f t="shared" si="17"/>
        <v>194849.49335242843</v>
      </c>
      <c r="AF15" s="53">
        <f t="shared" si="18"/>
        <v>29.274262823381676</v>
      </c>
      <c r="AG15" s="67">
        <f t="shared" si="19"/>
        <v>29.853337613045138</v>
      </c>
    </row>
    <row r="16" spans="1:33" x14ac:dyDescent="0.2">
      <c r="A16" s="22" t="s">
        <v>88</v>
      </c>
      <c r="B16" s="23" t="s">
        <v>4</v>
      </c>
      <c r="C16" s="5" t="s">
        <v>66</v>
      </c>
      <c r="D16" s="5" t="s">
        <v>60</v>
      </c>
      <c r="E16" s="5" t="s">
        <v>57</v>
      </c>
      <c r="F16" s="23" t="s">
        <v>2</v>
      </c>
      <c r="G16" s="24">
        <v>3.2</v>
      </c>
      <c r="H16" s="25">
        <v>416</v>
      </c>
      <c r="I16" s="8">
        <v>16</v>
      </c>
      <c r="J16" s="35">
        <v>6656</v>
      </c>
      <c r="K16" s="54">
        <f t="shared" si="1"/>
        <v>21299.200000000001</v>
      </c>
      <c r="L16" s="50">
        <f t="shared" si="2"/>
        <v>21619.200000000001</v>
      </c>
      <c r="M16" s="26">
        <v>352</v>
      </c>
      <c r="N16" s="58">
        <v>352</v>
      </c>
      <c r="O16" s="26">
        <f t="shared" si="0"/>
        <v>0</v>
      </c>
      <c r="P16" s="58">
        <f t="shared" si="3"/>
        <v>87673.172787200005</v>
      </c>
      <c r="Q16" s="65">
        <f t="shared" si="4"/>
        <v>0.13485999999999998</v>
      </c>
      <c r="R16" s="52">
        <v>0.17</v>
      </c>
      <c r="S16" s="53">
        <f t="shared" si="5"/>
        <v>111143.50673920002</v>
      </c>
      <c r="T16" s="55">
        <f t="shared" si="6"/>
        <v>0</v>
      </c>
      <c r="U16" s="50">
        <f t="shared" si="7"/>
        <v>1609.0858000000001</v>
      </c>
      <c r="V16" s="50">
        <f t="shared" si="8"/>
        <v>37420.6</v>
      </c>
      <c r="W16" s="53">
        <f t="shared" si="9"/>
        <v>1871.03</v>
      </c>
      <c r="X16" s="53">
        <f t="shared" si="10"/>
        <v>9000</v>
      </c>
      <c r="Y16" s="55">
        <f t="shared" si="11"/>
        <v>0</v>
      </c>
      <c r="Z16" s="53">
        <f t="shared" si="12"/>
        <v>4864.6779999999999</v>
      </c>
      <c r="AA16" s="50">
        <f t="shared" si="13"/>
        <v>3854.3218000000002</v>
      </c>
      <c r="AB16" s="67">
        <f t="shared" si="14"/>
        <v>22228.701347840004</v>
      </c>
      <c r="AC16" s="67">
        <f t="shared" si="15"/>
        <v>24006.997455667202</v>
      </c>
      <c r="AD16" s="53">
        <f t="shared" si="16"/>
        <v>500</v>
      </c>
      <c r="AE16" s="53">
        <f t="shared" si="17"/>
        <v>194849.49335242843</v>
      </c>
      <c r="AF16" s="53">
        <f t="shared" si="18"/>
        <v>29.274262823381676</v>
      </c>
      <c r="AG16" s="67">
        <f t="shared" si="19"/>
        <v>29.853337613045138</v>
      </c>
    </row>
    <row r="17" spans="1:33" x14ac:dyDescent="0.2">
      <c r="A17" s="22" t="s">
        <v>89</v>
      </c>
      <c r="B17" s="23" t="s">
        <v>4</v>
      </c>
      <c r="C17" s="5" t="s">
        <v>67</v>
      </c>
      <c r="D17" s="5" t="s">
        <v>78</v>
      </c>
      <c r="E17" s="5" t="s">
        <v>57</v>
      </c>
      <c r="F17" s="23" t="s">
        <v>2</v>
      </c>
      <c r="G17" s="24">
        <v>3.15</v>
      </c>
      <c r="H17" s="25">
        <v>416</v>
      </c>
      <c r="I17" s="8">
        <v>16</v>
      </c>
      <c r="J17" s="35">
        <v>6656</v>
      </c>
      <c r="K17" s="54">
        <f t="shared" si="1"/>
        <v>20966.399999999998</v>
      </c>
      <c r="L17" s="50">
        <f t="shared" si="2"/>
        <v>21286.399999999998</v>
      </c>
      <c r="M17" s="26">
        <v>398</v>
      </c>
      <c r="N17" s="58">
        <v>398</v>
      </c>
      <c r="O17" s="26">
        <f t="shared" si="0"/>
        <v>0</v>
      </c>
      <c r="P17" s="58">
        <f t="shared" si="3"/>
        <v>99130.4624128</v>
      </c>
      <c r="Q17" s="65">
        <f t="shared" si="4"/>
        <v>0.15490412698412698</v>
      </c>
      <c r="R17" s="52">
        <v>0.17</v>
      </c>
      <c r="S17" s="53">
        <f t="shared" si="5"/>
        <v>109406.8894464</v>
      </c>
      <c r="T17" s="55">
        <f t="shared" si="6"/>
        <v>0</v>
      </c>
      <c r="U17" s="50">
        <f t="shared" si="7"/>
        <v>1609.0858000000001</v>
      </c>
      <c r="V17" s="50">
        <f t="shared" si="8"/>
        <v>37420.6</v>
      </c>
      <c r="W17" s="53">
        <f t="shared" si="9"/>
        <v>1871.03</v>
      </c>
      <c r="X17" s="53">
        <f t="shared" si="10"/>
        <v>9000</v>
      </c>
      <c r="Y17" s="55">
        <f t="shared" si="11"/>
        <v>0</v>
      </c>
      <c r="Z17" s="53">
        <f t="shared" si="12"/>
        <v>4864.6779999999999</v>
      </c>
      <c r="AA17" s="50">
        <f t="shared" si="13"/>
        <v>3854.3218000000002</v>
      </c>
      <c r="AB17" s="67">
        <f t="shared" si="14"/>
        <v>21881.377889280004</v>
      </c>
      <c r="AC17" s="67">
        <f t="shared" si="15"/>
        <v>23631.888120422402</v>
      </c>
      <c r="AD17" s="53">
        <f t="shared" si="16"/>
        <v>500</v>
      </c>
      <c r="AE17" s="53">
        <f t="shared" si="17"/>
        <v>205906.39588917751</v>
      </c>
      <c r="AF17" s="53">
        <f t="shared" si="18"/>
        <v>30.935456113157677</v>
      </c>
      <c r="AG17" s="67">
        <f t="shared" si="19"/>
        <v>31.514530902821139</v>
      </c>
    </row>
    <row r="18" spans="1:33" x14ac:dyDescent="0.2">
      <c r="A18" s="22" t="s">
        <v>90</v>
      </c>
      <c r="B18" s="23" t="s">
        <v>4</v>
      </c>
      <c r="C18" s="5" t="s">
        <v>68</v>
      </c>
      <c r="D18" s="5" t="s">
        <v>78</v>
      </c>
      <c r="E18" s="5" t="s">
        <v>57</v>
      </c>
      <c r="F18" s="23" t="s">
        <v>2</v>
      </c>
      <c r="G18" s="24">
        <v>3.15</v>
      </c>
      <c r="H18" s="25">
        <v>416</v>
      </c>
      <c r="I18" s="8">
        <v>16</v>
      </c>
      <c r="J18" s="35">
        <v>6656</v>
      </c>
      <c r="K18" s="54">
        <f t="shared" si="1"/>
        <v>20966.399999999998</v>
      </c>
      <c r="L18" s="50">
        <f t="shared" si="2"/>
        <v>21286.399999999998</v>
      </c>
      <c r="M18" s="26">
        <v>398</v>
      </c>
      <c r="N18" s="58">
        <v>398</v>
      </c>
      <c r="O18" s="26">
        <f t="shared" si="0"/>
        <v>0</v>
      </c>
      <c r="P18" s="58">
        <f t="shared" si="3"/>
        <v>99130.4624128</v>
      </c>
      <c r="Q18" s="65">
        <f t="shared" si="4"/>
        <v>0.15490412698412698</v>
      </c>
      <c r="R18" s="52">
        <v>0.17</v>
      </c>
      <c r="S18" s="53">
        <f t="shared" si="5"/>
        <v>109406.8894464</v>
      </c>
      <c r="T18" s="55">
        <f t="shared" si="6"/>
        <v>0</v>
      </c>
      <c r="U18" s="50">
        <f t="shared" si="7"/>
        <v>1609.0858000000001</v>
      </c>
      <c r="V18" s="50">
        <f t="shared" si="8"/>
        <v>37420.6</v>
      </c>
      <c r="W18" s="53">
        <f t="shared" si="9"/>
        <v>1871.03</v>
      </c>
      <c r="X18" s="53">
        <f t="shared" si="10"/>
        <v>9000</v>
      </c>
      <c r="Y18" s="55">
        <f t="shared" si="11"/>
        <v>0</v>
      </c>
      <c r="Z18" s="53">
        <f t="shared" si="12"/>
        <v>4864.6779999999999</v>
      </c>
      <c r="AA18" s="50">
        <f t="shared" si="13"/>
        <v>3854.3218000000002</v>
      </c>
      <c r="AB18" s="67">
        <f t="shared" si="14"/>
        <v>21881.377889280004</v>
      </c>
      <c r="AC18" s="67">
        <f t="shared" si="15"/>
        <v>23631.888120422402</v>
      </c>
      <c r="AD18" s="53">
        <f t="shared" si="16"/>
        <v>500</v>
      </c>
      <c r="AE18" s="53">
        <f t="shared" si="17"/>
        <v>205906.39588917751</v>
      </c>
      <c r="AF18" s="53">
        <f t="shared" si="18"/>
        <v>30.935456113157677</v>
      </c>
      <c r="AG18" s="67">
        <f t="shared" si="19"/>
        <v>31.514530902821139</v>
      </c>
    </row>
    <row r="19" spans="1:33" x14ac:dyDescent="0.2">
      <c r="A19" s="27" t="s">
        <v>143</v>
      </c>
      <c r="B19" s="8" t="s">
        <v>4</v>
      </c>
      <c r="C19" s="5" t="s">
        <v>144</v>
      </c>
      <c r="D19" s="9" t="s">
        <v>58</v>
      </c>
      <c r="E19" s="5" t="s">
        <v>57</v>
      </c>
      <c r="F19" s="8" t="s">
        <v>3</v>
      </c>
      <c r="G19" s="24">
        <v>2.7</v>
      </c>
      <c r="H19" s="25">
        <v>420</v>
      </c>
      <c r="I19" s="8">
        <v>19</v>
      </c>
      <c r="J19" s="35">
        <v>7980</v>
      </c>
      <c r="K19" s="54">
        <f t="shared" si="1"/>
        <v>21546</v>
      </c>
      <c r="L19" s="50">
        <f t="shared" si="2"/>
        <v>21926</v>
      </c>
      <c r="M19" s="26">
        <v>337</v>
      </c>
      <c r="N19" s="58">
        <v>337</v>
      </c>
      <c r="O19" s="26">
        <f t="shared" si="0"/>
        <v>0</v>
      </c>
      <c r="P19" s="58">
        <f t="shared" si="3"/>
        <v>100633.722756</v>
      </c>
      <c r="Q19" s="65">
        <f t="shared" si="4"/>
        <v>0.15302296296296294</v>
      </c>
      <c r="R19" s="52">
        <v>0.17</v>
      </c>
      <c r="S19" s="53">
        <f t="shared" si="5"/>
        <v>112431.358746</v>
      </c>
      <c r="T19" s="55">
        <f t="shared" si="6"/>
        <v>0</v>
      </c>
      <c r="U19" s="50">
        <f t="shared" si="7"/>
        <v>1609.0858000000001</v>
      </c>
      <c r="V19" s="50">
        <f t="shared" si="8"/>
        <v>37420.6</v>
      </c>
      <c r="W19" s="53">
        <f t="shared" si="9"/>
        <v>1871.03</v>
      </c>
      <c r="X19" s="53">
        <f t="shared" si="10"/>
        <v>9000</v>
      </c>
      <c r="Y19" s="55">
        <f t="shared" si="11"/>
        <v>0</v>
      </c>
      <c r="Z19" s="53">
        <f t="shared" si="12"/>
        <v>4864.6779999999999</v>
      </c>
      <c r="AA19" s="50">
        <f t="shared" si="13"/>
        <v>3854.3218000000002</v>
      </c>
      <c r="AB19" s="67">
        <f t="shared" si="14"/>
        <v>22486.271749200001</v>
      </c>
      <c r="AC19" s="67">
        <f t="shared" si="15"/>
        <v>24285.173489135999</v>
      </c>
      <c r="AD19" s="53">
        <f t="shared" si="16"/>
        <v>500</v>
      </c>
      <c r="AE19" s="53">
        <f t="shared" si="17"/>
        <v>208750.67864816613</v>
      </c>
      <c r="AF19" s="53">
        <f t="shared" si="18"/>
        <v>26.159232913304027</v>
      </c>
      <c r="AG19" s="67">
        <f t="shared" si="19"/>
        <v>26.642230632602274</v>
      </c>
    </row>
    <row r="20" spans="1:33" x14ac:dyDescent="0.2">
      <c r="A20" s="27"/>
      <c r="B20" s="8"/>
      <c r="C20" s="9"/>
      <c r="D20" s="9"/>
      <c r="E20" s="9"/>
      <c r="F20" s="8"/>
      <c r="G20" s="24"/>
      <c r="H20" s="25"/>
      <c r="I20" s="8"/>
      <c r="J20" s="36"/>
      <c r="K20" s="54"/>
      <c r="L20" s="50"/>
      <c r="M20" s="29"/>
      <c r="N20" s="58"/>
      <c r="O20" s="26">
        <f t="shared" si="0"/>
        <v>0</v>
      </c>
      <c r="P20" s="58"/>
      <c r="Q20" s="65"/>
      <c r="R20" s="52"/>
      <c r="S20" s="53"/>
      <c r="T20" s="55"/>
      <c r="U20" s="50"/>
      <c r="V20" s="50"/>
      <c r="W20" s="53"/>
      <c r="X20" s="53"/>
      <c r="Y20" s="55"/>
      <c r="Z20" s="53"/>
      <c r="AA20" s="50"/>
      <c r="AB20" s="67"/>
      <c r="AC20" s="67"/>
      <c r="AD20" s="53"/>
      <c r="AE20" s="53"/>
      <c r="AF20" s="53"/>
      <c r="AG20" s="67"/>
    </row>
    <row r="21" spans="1:33" x14ac:dyDescent="0.2">
      <c r="A21" s="22" t="s">
        <v>91</v>
      </c>
      <c r="B21" s="23" t="s">
        <v>4</v>
      </c>
      <c r="C21" s="5" t="s">
        <v>6</v>
      </c>
      <c r="D21" s="5" t="s">
        <v>56</v>
      </c>
      <c r="E21" s="5" t="s">
        <v>61</v>
      </c>
      <c r="F21" s="23" t="s">
        <v>2</v>
      </c>
      <c r="G21" s="24">
        <v>3.15</v>
      </c>
      <c r="H21" s="25">
        <v>416</v>
      </c>
      <c r="I21" s="8">
        <v>16</v>
      </c>
      <c r="J21" s="35">
        <v>6656</v>
      </c>
      <c r="K21" s="54">
        <f t="shared" si="1"/>
        <v>20966.399999999998</v>
      </c>
      <c r="L21" s="50">
        <f t="shared" si="2"/>
        <v>21286.399999999998</v>
      </c>
      <c r="M21" s="26">
        <v>275</v>
      </c>
      <c r="N21" s="58">
        <v>275</v>
      </c>
      <c r="O21" s="26">
        <f t="shared" si="0"/>
        <v>0</v>
      </c>
      <c r="P21" s="58">
        <f>M21*J21*$T$2/1000</f>
        <v>68494.666239999991</v>
      </c>
      <c r="Q21" s="65">
        <f>M21/1000/G21*$T$1</f>
        <v>0.10703174603174605</v>
      </c>
      <c r="R21" s="52">
        <v>0.17</v>
      </c>
      <c r="S21" s="53">
        <f>G21*J21*R21*$T$3</f>
        <v>109406.8894464</v>
      </c>
      <c r="T21" s="55">
        <f>$T$9</f>
        <v>0</v>
      </c>
      <c r="U21" s="50">
        <f>$U$9*$T$2</f>
        <v>1609.0858000000001</v>
      </c>
      <c r="V21" s="50">
        <f>$V$9*$T$2</f>
        <v>37420.6</v>
      </c>
      <c r="W21" s="53">
        <f>$W$9*$T$2</f>
        <v>1871.03</v>
      </c>
      <c r="X21" s="53">
        <f>$X$9</f>
        <v>9000</v>
      </c>
      <c r="Y21" s="55">
        <f>$Y$9</f>
        <v>0</v>
      </c>
      <c r="Z21" s="53">
        <f>$Z$9*$T$2</f>
        <v>4864.6779999999999</v>
      </c>
      <c r="AA21" s="50">
        <f>$AA$9*$T$2*$AE$9</f>
        <v>3854.3218000000002</v>
      </c>
      <c r="AB21" s="67">
        <f>S21*$AB$9</f>
        <v>21881.377889280004</v>
      </c>
      <c r="AC21" s="67">
        <f>(S21+AB21)*$AC$9</f>
        <v>23631.888120422402</v>
      </c>
      <c r="AD21" s="53">
        <f>$AD$9</f>
        <v>500</v>
      </c>
      <c r="AE21" s="53">
        <f>(P21+T21+U21+V21+W21+X21+Y21+Z21+AB21+AC21+AD21)*$AE$9</f>
        <v>174351.52583119346</v>
      </c>
      <c r="AF21" s="53">
        <f>AE21/J21</f>
        <v>26.194640299157673</v>
      </c>
      <c r="AG21" s="67">
        <f>AA21/J21+AF21</f>
        <v>26.773715088821135</v>
      </c>
    </row>
    <row r="22" spans="1:33" x14ac:dyDescent="0.2">
      <c r="A22" s="22" t="s">
        <v>92</v>
      </c>
      <c r="B22" s="23" t="s">
        <v>4</v>
      </c>
      <c r="C22" s="5" t="s">
        <v>7</v>
      </c>
      <c r="D22" s="5" t="s">
        <v>59</v>
      </c>
      <c r="E22" s="5" t="s">
        <v>61</v>
      </c>
      <c r="F22" s="23" t="s">
        <v>2</v>
      </c>
      <c r="G22" s="24">
        <v>3.25</v>
      </c>
      <c r="H22" s="25">
        <v>416</v>
      </c>
      <c r="I22" s="8">
        <v>16</v>
      </c>
      <c r="J22" s="35">
        <v>6656</v>
      </c>
      <c r="K22" s="54">
        <f t="shared" si="1"/>
        <v>21632</v>
      </c>
      <c r="L22" s="50">
        <f t="shared" si="2"/>
        <v>21952</v>
      </c>
      <c r="M22" s="26">
        <v>352</v>
      </c>
      <c r="N22" s="58">
        <v>352</v>
      </c>
      <c r="O22" s="26">
        <f t="shared" si="0"/>
        <v>0</v>
      </c>
      <c r="P22" s="58">
        <f>M22*J22*$T$2/1000</f>
        <v>87673.172787200005</v>
      </c>
      <c r="Q22" s="65">
        <f>M22/1000/G22*$T$1</f>
        <v>0.13278523076923077</v>
      </c>
      <c r="R22" s="52">
        <v>0.17</v>
      </c>
      <c r="S22" s="53">
        <f>G22*J22*R22*$T$3</f>
        <v>112880.12403200001</v>
      </c>
      <c r="T22" s="55">
        <f>$T$9</f>
        <v>0</v>
      </c>
      <c r="U22" s="50">
        <f>$U$9*$T$2</f>
        <v>1609.0858000000001</v>
      </c>
      <c r="V22" s="50">
        <f>$V$9*$T$2</f>
        <v>37420.6</v>
      </c>
      <c r="W22" s="53">
        <f>$W$9*$T$2</f>
        <v>1871.03</v>
      </c>
      <c r="X22" s="53">
        <f>$X$9</f>
        <v>9000</v>
      </c>
      <c r="Y22" s="55">
        <f>$Y$9</f>
        <v>0</v>
      </c>
      <c r="Z22" s="53">
        <f>$Z$9*$T$2</f>
        <v>4864.6779999999999</v>
      </c>
      <c r="AA22" s="50">
        <f>$AA$9*$T$2*$AE$9</f>
        <v>3854.3218000000002</v>
      </c>
      <c r="AB22" s="67">
        <f>S22*$AB$9</f>
        <v>22576.024806400004</v>
      </c>
      <c r="AC22" s="67">
        <f>(S22+AB22)*$AC$9</f>
        <v>24382.106790912003</v>
      </c>
      <c r="AD22" s="53">
        <f>$AD$9</f>
        <v>500</v>
      </c>
      <c r="AE22" s="53">
        <f>(P22+T22+U22+V22+W22+X22+Y22+Z22+AB22+AC22+AD22)*$AE$9</f>
        <v>195593.59913004734</v>
      </c>
      <c r="AF22" s="53">
        <f>AE22/J22</f>
        <v>29.386057561605671</v>
      </c>
      <c r="AG22" s="67">
        <f>AA22/J22+AF22</f>
        <v>29.965132351269133</v>
      </c>
    </row>
    <row r="23" spans="1:33" x14ac:dyDescent="0.2">
      <c r="A23" s="22" t="s">
        <v>93</v>
      </c>
      <c r="B23" s="23" t="s">
        <v>4</v>
      </c>
      <c r="C23" s="5" t="s">
        <v>69</v>
      </c>
      <c r="D23" s="5" t="s">
        <v>60</v>
      </c>
      <c r="E23" s="5" t="s">
        <v>61</v>
      </c>
      <c r="F23" s="23" t="s">
        <v>2</v>
      </c>
      <c r="G23" s="24">
        <v>3.25</v>
      </c>
      <c r="H23" s="25">
        <v>416</v>
      </c>
      <c r="I23" s="8">
        <v>16</v>
      </c>
      <c r="J23" s="35">
        <v>6656</v>
      </c>
      <c r="K23" s="54">
        <f t="shared" si="1"/>
        <v>21632</v>
      </c>
      <c r="L23" s="50">
        <f t="shared" si="2"/>
        <v>21952</v>
      </c>
      <c r="M23" s="26">
        <v>352</v>
      </c>
      <c r="N23" s="58">
        <v>352</v>
      </c>
      <c r="O23" s="26">
        <f t="shared" si="0"/>
        <v>0</v>
      </c>
      <c r="P23" s="58">
        <f>M23*J23*$T$2/1000</f>
        <v>87673.172787200005</v>
      </c>
      <c r="Q23" s="65">
        <f>M23/1000/G23*$T$1</f>
        <v>0.13278523076923077</v>
      </c>
      <c r="R23" s="52">
        <v>0.17</v>
      </c>
      <c r="S23" s="53">
        <f>G23*J23*R23*$T$3</f>
        <v>112880.12403200001</v>
      </c>
      <c r="T23" s="55">
        <f>$T$9</f>
        <v>0</v>
      </c>
      <c r="U23" s="50">
        <f>$U$9*$T$2</f>
        <v>1609.0858000000001</v>
      </c>
      <c r="V23" s="50">
        <f>$V$9*$T$2</f>
        <v>37420.6</v>
      </c>
      <c r="W23" s="53">
        <f>$W$9*$T$2</f>
        <v>1871.03</v>
      </c>
      <c r="X23" s="53">
        <f>$X$9</f>
        <v>9000</v>
      </c>
      <c r="Y23" s="55">
        <f>$Y$9</f>
        <v>0</v>
      </c>
      <c r="Z23" s="53">
        <f>$Z$9*$T$2</f>
        <v>4864.6779999999999</v>
      </c>
      <c r="AA23" s="50">
        <f>$AA$9*$T$2*$AE$9</f>
        <v>3854.3218000000002</v>
      </c>
      <c r="AB23" s="67">
        <f>S23*$AB$9</f>
        <v>22576.024806400004</v>
      </c>
      <c r="AC23" s="67">
        <f>(S23+AB23)*$AC$9</f>
        <v>24382.106790912003</v>
      </c>
      <c r="AD23" s="53">
        <f>$AD$9</f>
        <v>500</v>
      </c>
      <c r="AE23" s="53">
        <f>(P23+T23+U23+V23+W23+X23+Y23+Z23+AB23+AC23+AD23)*$AE$9</f>
        <v>195593.59913004734</v>
      </c>
      <c r="AF23" s="53">
        <f>AE23/J23</f>
        <v>29.386057561605671</v>
      </c>
      <c r="AG23" s="67">
        <f>AA23/J23+AF23</f>
        <v>29.965132351269133</v>
      </c>
    </row>
    <row r="24" spans="1:33" x14ac:dyDescent="0.2">
      <c r="A24" s="27" t="s">
        <v>146</v>
      </c>
      <c r="B24" s="8" t="s">
        <v>4</v>
      </c>
      <c r="C24" s="9" t="s">
        <v>145</v>
      </c>
      <c r="D24" s="9" t="s">
        <v>58</v>
      </c>
      <c r="E24" s="9" t="s">
        <v>61</v>
      </c>
      <c r="F24" s="8" t="s">
        <v>3</v>
      </c>
      <c r="G24" s="24">
        <v>2.7</v>
      </c>
      <c r="H24" s="25">
        <v>420</v>
      </c>
      <c r="I24" s="8">
        <v>19</v>
      </c>
      <c r="J24" s="35">
        <v>7980</v>
      </c>
      <c r="K24" s="54">
        <f t="shared" si="1"/>
        <v>21546</v>
      </c>
      <c r="L24" s="50">
        <f t="shared" si="2"/>
        <v>21926</v>
      </c>
      <c r="M24" s="26">
        <v>337</v>
      </c>
      <c r="N24" s="58">
        <v>337</v>
      </c>
      <c r="O24" s="26">
        <f t="shared" si="0"/>
        <v>0</v>
      </c>
      <c r="P24" s="58">
        <f>M24*J24*$T$2/1000</f>
        <v>100633.722756</v>
      </c>
      <c r="Q24" s="65">
        <f>M24/1000/G24*$T$1</f>
        <v>0.15302296296296294</v>
      </c>
      <c r="R24" s="52">
        <v>0.17</v>
      </c>
      <c r="S24" s="53">
        <f>G24*J24*R24*$T$3</f>
        <v>112431.358746</v>
      </c>
      <c r="T24" s="55">
        <f>$T$9</f>
        <v>0</v>
      </c>
      <c r="U24" s="50">
        <f>$U$9*$T$2</f>
        <v>1609.0858000000001</v>
      </c>
      <c r="V24" s="50">
        <f>$V$9*$T$2</f>
        <v>37420.6</v>
      </c>
      <c r="W24" s="53">
        <f>$W$9*$T$2</f>
        <v>1871.03</v>
      </c>
      <c r="X24" s="53">
        <f>$X$9</f>
        <v>9000</v>
      </c>
      <c r="Y24" s="55">
        <f>$Y$9</f>
        <v>0</v>
      </c>
      <c r="Z24" s="53">
        <f>$Z$9*$T$2</f>
        <v>4864.6779999999999</v>
      </c>
      <c r="AA24" s="50">
        <f>$AA$9*$T$2*$AE$9</f>
        <v>3854.3218000000002</v>
      </c>
      <c r="AB24" s="67">
        <f>S24*$AB$9</f>
        <v>22486.271749200001</v>
      </c>
      <c r="AC24" s="67">
        <f>(S24+AB24)*$AC$9</f>
        <v>24285.173489135999</v>
      </c>
      <c r="AD24" s="53">
        <f>$AD$9</f>
        <v>500</v>
      </c>
      <c r="AE24" s="53">
        <f>(P24+T24+U24+V24+W24+X24+Y24+Z24+AB24+AC24+AD24)*$AE$9</f>
        <v>208750.67864816613</v>
      </c>
      <c r="AF24" s="53">
        <f>AE24/J24</f>
        <v>26.159232913304027</v>
      </c>
      <c r="AG24" s="67">
        <f>AA24/J24+AF24</f>
        <v>26.642230632602274</v>
      </c>
    </row>
    <row r="25" spans="1:33" x14ac:dyDescent="0.2">
      <c r="A25" s="27"/>
      <c r="B25" s="8"/>
      <c r="C25" s="9"/>
      <c r="D25" s="9"/>
      <c r="E25" s="9"/>
      <c r="F25" s="8"/>
      <c r="G25" s="24"/>
      <c r="H25" s="25"/>
      <c r="I25" s="8"/>
      <c r="J25" s="36"/>
      <c r="K25" s="54"/>
      <c r="L25" s="50"/>
      <c r="M25" s="28"/>
      <c r="N25" s="58"/>
      <c r="O25" s="26">
        <f t="shared" si="0"/>
        <v>0</v>
      </c>
      <c r="P25" s="58"/>
      <c r="Q25" s="65"/>
      <c r="R25" s="52"/>
      <c r="S25" s="53"/>
      <c r="T25" s="55"/>
      <c r="U25" s="50"/>
      <c r="V25" s="50"/>
      <c r="W25" s="53"/>
      <c r="X25" s="53"/>
      <c r="Y25" s="55"/>
      <c r="Z25" s="53"/>
      <c r="AA25" s="50"/>
      <c r="AB25" s="67"/>
      <c r="AC25" s="67"/>
      <c r="AD25" s="53"/>
      <c r="AE25" s="53"/>
      <c r="AF25" s="53"/>
      <c r="AG25" s="67"/>
    </row>
    <row r="26" spans="1:33" x14ac:dyDescent="0.2">
      <c r="A26" s="22" t="s">
        <v>94</v>
      </c>
      <c r="B26" s="23" t="s">
        <v>4</v>
      </c>
      <c r="C26" s="5" t="s">
        <v>8</v>
      </c>
      <c r="D26" s="5" t="s">
        <v>56</v>
      </c>
      <c r="E26" s="5" t="s">
        <v>62</v>
      </c>
      <c r="F26" s="23" t="s">
        <v>2</v>
      </c>
      <c r="G26" s="24">
        <v>3.15</v>
      </c>
      <c r="H26" s="25">
        <v>416</v>
      </c>
      <c r="I26" s="8">
        <v>16</v>
      </c>
      <c r="J26" s="35">
        <v>6656</v>
      </c>
      <c r="K26" s="54">
        <f t="shared" si="1"/>
        <v>20966.399999999998</v>
      </c>
      <c r="L26" s="50">
        <f t="shared" si="2"/>
        <v>21286.399999999998</v>
      </c>
      <c r="M26" s="26">
        <v>275</v>
      </c>
      <c r="N26" s="58">
        <v>275</v>
      </c>
      <c r="O26" s="26">
        <f t="shared" si="0"/>
        <v>0</v>
      </c>
      <c r="P26" s="58">
        <f>M26*J26*$T$2/1000</f>
        <v>68494.666239999991</v>
      </c>
      <c r="Q26" s="65">
        <f>M26/1000/G26*$T$1</f>
        <v>0.10703174603174605</v>
      </c>
      <c r="R26" s="52">
        <v>0.17</v>
      </c>
      <c r="S26" s="53">
        <f>G26*J26*R26*$T$3</f>
        <v>109406.8894464</v>
      </c>
      <c r="T26" s="55">
        <f>$T$9</f>
        <v>0</v>
      </c>
      <c r="U26" s="50">
        <f>$U$9*$T$2</f>
        <v>1609.0858000000001</v>
      </c>
      <c r="V26" s="50">
        <f>$V$9*$T$2</f>
        <v>37420.6</v>
      </c>
      <c r="W26" s="53">
        <f>$W$9*$T$2</f>
        <v>1871.03</v>
      </c>
      <c r="X26" s="53">
        <f>$X$9</f>
        <v>9000</v>
      </c>
      <c r="Y26" s="55">
        <f>$Y$9</f>
        <v>0</v>
      </c>
      <c r="Z26" s="53">
        <f>$Z$9*$T$2</f>
        <v>4864.6779999999999</v>
      </c>
      <c r="AA26" s="50">
        <f>$AA$9*$T$2*$AE$9</f>
        <v>3854.3218000000002</v>
      </c>
      <c r="AB26" s="67">
        <f>S26*$AB$9</f>
        <v>21881.377889280004</v>
      </c>
      <c r="AC26" s="67">
        <f>(S26+AB26)*$AC$9</f>
        <v>23631.888120422402</v>
      </c>
      <c r="AD26" s="53">
        <f>$AD$9</f>
        <v>500</v>
      </c>
      <c r="AE26" s="53">
        <f>(P26+T26+U26+V26+W26+X26+Y26+Z26+AB26+AC26+AD26)*$AE$9</f>
        <v>174351.52583119346</v>
      </c>
      <c r="AF26" s="53">
        <f>AE26/J26</f>
        <v>26.194640299157673</v>
      </c>
      <c r="AG26" s="67">
        <f>AA26/J26+AF26</f>
        <v>26.773715088821135</v>
      </c>
    </row>
    <row r="27" spans="1:33" x14ac:dyDescent="0.2">
      <c r="A27" s="22" t="s">
        <v>95</v>
      </c>
      <c r="B27" s="23" t="s">
        <v>4</v>
      </c>
      <c r="C27" s="5" t="s">
        <v>9</v>
      </c>
      <c r="D27" s="5" t="s">
        <v>59</v>
      </c>
      <c r="E27" s="5" t="s">
        <v>62</v>
      </c>
      <c r="F27" s="23" t="s">
        <v>2</v>
      </c>
      <c r="G27" s="24">
        <v>3.25</v>
      </c>
      <c r="H27" s="25">
        <v>416</v>
      </c>
      <c r="I27" s="8">
        <v>16</v>
      </c>
      <c r="J27" s="35">
        <v>6656</v>
      </c>
      <c r="K27" s="54">
        <f t="shared" si="1"/>
        <v>21632</v>
      </c>
      <c r="L27" s="50">
        <f t="shared" si="2"/>
        <v>21952</v>
      </c>
      <c r="M27" s="26">
        <v>352</v>
      </c>
      <c r="N27" s="58">
        <v>352</v>
      </c>
      <c r="O27" s="26">
        <f t="shared" si="0"/>
        <v>0</v>
      </c>
      <c r="P27" s="58">
        <f>M27*J27*$T$2/1000</f>
        <v>87673.172787200005</v>
      </c>
      <c r="Q27" s="65">
        <f>M27/1000/G27*$T$1</f>
        <v>0.13278523076923077</v>
      </c>
      <c r="R27" s="52">
        <v>0.17</v>
      </c>
      <c r="S27" s="53">
        <f>G27*J27*R27*$T$3</f>
        <v>112880.12403200001</v>
      </c>
      <c r="T27" s="55">
        <f>$T$9</f>
        <v>0</v>
      </c>
      <c r="U27" s="50">
        <f>$U$9*$T$2</f>
        <v>1609.0858000000001</v>
      </c>
      <c r="V27" s="50">
        <f>$V$9*$T$2</f>
        <v>37420.6</v>
      </c>
      <c r="W27" s="53">
        <f>$W$9*$T$2</f>
        <v>1871.03</v>
      </c>
      <c r="X27" s="53">
        <f>$X$9</f>
        <v>9000</v>
      </c>
      <c r="Y27" s="55">
        <f>$Y$9</f>
        <v>0</v>
      </c>
      <c r="Z27" s="53">
        <f>$Z$9*$T$2</f>
        <v>4864.6779999999999</v>
      </c>
      <c r="AA27" s="50">
        <f>$AA$9*$T$2*$AE$9</f>
        <v>3854.3218000000002</v>
      </c>
      <c r="AB27" s="67">
        <f>S27*$AB$9</f>
        <v>22576.024806400004</v>
      </c>
      <c r="AC27" s="67">
        <f>(S27+AB27)*$AC$9</f>
        <v>24382.106790912003</v>
      </c>
      <c r="AD27" s="53">
        <f>$AD$9</f>
        <v>500</v>
      </c>
      <c r="AE27" s="53">
        <f>(P27+T27+U27+V27+W27+X27+Y27+Z27+AB27+AC27+AD27)*$AE$9</f>
        <v>195593.59913004734</v>
      </c>
      <c r="AF27" s="53">
        <f>AE27/J27</f>
        <v>29.386057561605671</v>
      </c>
      <c r="AG27" s="67">
        <f>AA27/J27+AF27</f>
        <v>29.965132351269133</v>
      </c>
    </row>
    <row r="28" spans="1:33" x14ac:dyDescent="0.2">
      <c r="A28" s="27" t="s">
        <v>96</v>
      </c>
      <c r="B28" s="23" t="s">
        <v>4</v>
      </c>
      <c r="C28" s="5" t="s">
        <v>10</v>
      </c>
      <c r="D28" s="9" t="s">
        <v>56</v>
      </c>
      <c r="E28" s="9" t="s">
        <v>63</v>
      </c>
      <c r="F28" s="8" t="s">
        <v>2</v>
      </c>
      <c r="G28" s="24">
        <v>3.15</v>
      </c>
      <c r="H28" s="25">
        <v>416</v>
      </c>
      <c r="I28" s="8">
        <v>16</v>
      </c>
      <c r="J28" s="35">
        <v>6656</v>
      </c>
      <c r="K28" s="54">
        <f t="shared" si="1"/>
        <v>20966.399999999998</v>
      </c>
      <c r="L28" s="50">
        <f t="shared" si="2"/>
        <v>21286.399999999998</v>
      </c>
      <c r="M28" s="26">
        <v>275</v>
      </c>
      <c r="N28" s="58">
        <v>275</v>
      </c>
      <c r="O28" s="26">
        <f t="shared" si="0"/>
        <v>0</v>
      </c>
      <c r="P28" s="58">
        <f>M28*J28*$T$2/1000</f>
        <v>68494.666239999991</v>
      </c>
      <c r="Q28" s="65">
        <f>M28/1000/G28*$T$1</f>
        <v>0.10703174603174605</v>
      </c>
      <c r="R28" s="52">
        <v>0.17</v>
      </c>
      <c r="S28" s="53">
        <f>G28*J28*R28*$T$3</f>
        <v>109406.8894464</v>
      </c>
      <c r="T28" s="55">
        <f>$T$9</f>
        <v>0</v>
      </c>
      <c r="U28" s="50">
        <f>$U$9*$T$2</f>
        <v>1609.0858000000001</v>
      </c>
      <c r="V28" s="50">
        <f>$V$9*$T$2</f>
        <v>37420.6</v>
      </c>
      <c r="W28" s="53">
        <f>$W$9*$T$2</f>
        <v>1871.03</v>
      </c>
      <c r="X28" s="53">
        <f>$X$9</f>
        <v>9000</v>
      </c>
      <c r="Y28" s="55">
        <f>$Y$9</f>
        <v>0</v>
      </c>
      <c r="Z28" s="53">
        <f>$Z$9*$T$2</f>
        <v>4864.6779999999999</v>
      </c>
      <c r="AA28" s="50">
        <f>$AA$9*$T$2*$AE$9</f>
        <v>3854.3218000000002</v>
      </c>
      <c r="AB28" s="67">
        <f>S28*$AB$9</f>
        <v>21881.377889280004</v>
      </c>
      <c r="AC28" s="67">
        <f>(S28+AB28)*$AC$9</f>
        <v>23631.888120422402</v>
      </c>
      <c r="AD28" s="53">
        <f>$AD$9</f>
        <v>500</v>
      </c>
      <c r="AE28" s="53">
        <f>(P28+T28+U28+V28+W28+X28+Y28+Z28+AB28+AC28+AD28)*$AE$9</f>
        <v>174351.52583119346</v>
      </c>
      <c r="AF28" s="53">
        <f>AE28/J28</f>
        <v>26.194640299157673</v>
      </c>
      <c r="AG28" s="67">
        <f>AA28/J28+AF28</f>
        <v>26.773715088821135</v>
      </c>
    </row>
    <row r="29" spans="1:33" x14ac:dyDescent="0.2">
      <c r="A29" s="22" t="s">
        <v>97</v>
      </c>
      <c r="B29" s="23" t="s">
        <v>4</v>
      </c>
      <c r="C29" s="5" t="s">
        <v>64</v>
      </c>
      <c r="D29" s="5" t="s">
        <v>56</v>
      </c>
      <c r="E29" s="5" t="s">
        <v>57</v>
      </c>
      <c r="F29" s="23" t="s">
        <v>2</v>
      </c>
      <c r="G29" s="24">
        <v>3</v>
      </c>
      <c r="H29" s="25">
        <v>416</v>
      </c>
      <c r="I29" s="8">
        <v>17</v>
      </c>
      <c r="J29" s="35">
        <v>7072</v>
      </c>
      <c r="K29" s="54">
        <f t="shared" si="1"/>
        <v>21216</v>
      </c>
      <c r="L29" s="50">
        <f t="shared" si="2"/>
        <v>21556</v>
      </c>
      <c r="M29" s="26">
        <v>352</v>
      </c>
      <c r="N29" s="58">
        <v>352</v>
      </c>
      <c r="O29" s="26">
        <f t="shared" si="0"/>
        <v>0</v>
      </c>
      <c r="P29" s="58">
        <f>M29*J29*$T$2/1000</f>
        <v>93152.746086400002</v>
      </c>
      <c r="Q29" s="65">
        <f>M29/1000/G29*$T$1</f>
        <v>0.14385066666666665</v>
      </c>
      <c r="R29" s="52">
        <v>0.17</v>
      </c>
      <c r="S29" s="53">
        <f>G29*J29*R29*$T$3</f>
        <v>110709.35241600001</v>
      </c>
      <c r="T29" s="55">
        <f>$T$9</f>
        <v>0</v>
      </c>
      <c r="U29" s="50">
        <f>$U$9*$T$2</f>
        <v>1609.0858000000001</v>
      </c>
      <c r="V29" s="50">
        <f>$V$9*$T$2</f>
        <v>37420.6</v>
      </c>
      <c r="W29" s="53">
        <f>$W$9*$T$2</f>
        <v>1871.03</v>
      </c>
      <c r="X29" s="53">
        <f>$X$9</f>
        <v>9000</v>
      </c>
      <c r="Y29" s="55">
        <f>$Y$9</f>
        <v>0</v>
      </c>
      <c r="Z29" s="53">
        <f>$Z$9*$T$2</f>
        <v>4864.6779999999999</v>
      </c>
      <c r="AA29" s="50">
        <f>$AA$9*$T$2*$AE$9</f>
        <v>3854.3218000000002</v>
      </c>
      <c r="AB29" s="67">
        <f>S29*$AB$9</f>
        <v>22141.870483200004</v>
      </c>
      <c r="AC29" s="67">
        <f>(S29+AB29)*$AC$9</f>
        <v>23913.220121856</v>
      </c>
      <c r="AD29" s="53">
        <f>$AD$9</f>
        <v>500</v>
      </c>
      <c r="AE29" s="53">
        <f>(P29+T29+U29+V29+W29+X29+Y29+Z29+AB29+AC29+AD29)*$AE$9</f>
        <v>200307.42740619971</v>
      </c>
      <c r="AF29" s="53">
        <f>AE29/J29</f>
        <v>28.32401405630652</v>
      </c>
      <c r="AG29" s="67">
        <f>AA29/J29+AF29</f>
        <v>28.869025623048604</v>
      </c>
    </row>
    <row r="30" spans="1:33" x14ac:dyDescent="0.2">
      <c r="A30" s="22"/>
      <c r="B30" s="23"/>
      <c r="C30" s="5"/>
      <c r="D30" s="5"/>
      <c r="E30" s="5"/>
      <c r="F30" s="23"/>
      <c r="G30" s="24"/>
      <c r="H30" s="25"/>
      <c r="I30" s="8"/>
      <c r="J30" s="36"/>
      <c r="K30" s="54"/>
      <c r="L30" s="50"/>
      <c r="M30" s="29"/>
      <c r="N30" s="58"/>
      <c r="O30" s="26">
        <f t="shared" si="0"/>
        <v>0</v>
      </c>
      <c r="P30" s="58"/>
      <c r="Q30" s="65"/>
      <c r="R30" s="52"/>
      <c r="S30" s="53"/>
      <c r="T30" s="55"/>
      <c r="U30" s="50"/>
      <c r="V30" s="50"/>
      <c r="W30" s="53"/>
      <c r="X30" s="53"/>
      <c r="Y30" s="55"/>
      <c r="Z30" s="53"/>
      <c r="AA30" s="50"/>
      <c r="AB30" s="67"/>
      <c r="AC30" s="67"/>
      <c r="AD30" s="53"/>
      <c r="AE30" s="53"/>
      <c r="AF30" s="53"/>
      <c r="AG30" s="67"/>
    </row>
    <row r="31" spans="1:33" x14ac:dyDescent="0.2">
      <c r="A31" s="22" t="s">
        <v>98</v>
      </c>
      <c r="B31" s="23" t="s">
        <v>11</v>
      </c>
      <c r="C31" s="5" t="s">
        <v>1</v>
      </c>
      <c r="D31" s="5" t="s">
        <v>56</v>
      </c>
      <c r="E31" s="5" t="s">
        <v>57</v>
      </c>
      <c r="F31" s="23" t="s">
        <v>2</v>
      </c>
      <c r="G31" s="24">
        <v>1.7</v>
      </c>
      <c r="H31" s="25">
        <v>720</v>
      </c>
      <c r="I31" s="8">
        <v>17</v>
      </c>
      <c r="J31" s="35">
        <v>12240</v>
      </c>
      <c r="K31" s="54">
        <f t="shared" si="1"/>
        <v>20808</v>
      </c>
      <c r="L31" s="50">
        <f t="shared" si="2"/>
        <v>21148</v>
      </c>
      <c r="M31" s="26">
        <v>199</v>
      </c>
      <c r="N31" s="58">
        <v>199</v>
      </c>
      <c r="O31" s="26">
        <f t="shared" si="0"/>
        <v>0</v>
      </c>
      <c r="P31" s="58">
        <f>M31*J31*$T$2/1000</f>
        <v>91147.60065600001</v>
      </c>
      <c r="Q31" s="65">
        <f>M31/1000/G31*$T$1</f>
        <v>0.14351411764705882</v>
      </c>
      <c r="R31" s="52">
        <v>0.17</v>
      </c>
      <c r="S31" s="53">
        <f>G31*J31*R31*$T$3</f>
        <v>108580.32640800001</v>
      </c>
      <c r="T31" s="55">
        <f>$T$9</f>
        <v>0</v>
      </c>
      <c r="U31" s="50">
        <f>$U$9*$T$2</f>
        <v>1609.0858000000001</v>
      </c>
      <c r="V31" s="50">
        <f>$V$9*$T$2</f>
        <v>37420.6</v>
      </c>
      <c r="W31" s="53">
        <f>$W$9*$T$2</f>
        <v>1871.03</v>
      </c>
      <c r="X31" s="53">
        <f>$X$9</f>
        <v>9000</v>
      </c>
      <c r="Y31" s="55">
        <f>$Y$9</f>
        <v>0</v>
      </c>
      <c r="Z31" s="53">
        <f>$Z$9*$T$2</f>
        <v>4864.6779999999999</v>
      </c>
      <c r="AA31" s="50">
        <f>$AA$9*$T$2*$AE$9</f>
        <v>3854.3218000000002</v>
      </c>
      <c r="AB31" s="67">
        <f>S31*$AB$9</f>
        <v>21716.065281600004</v>
      </c>
      <c r="AC31" s="67">
        <f>(S31+AB31)*$AC$9</f>
        <v>23453.350504128</v>
      </c>
      <c r="AD31" s="53">
        <f>$AD$9</f>
        <v>500</v>
      </c>
      <c r="AE31" s="53">
        <f>(P31+T31+U31+V31+W31+X31+Y31+Z31+AB31+AC31+AD31)*$AE$9</f>
        <v>197329.88254897983</v>
      </c>
      <c r="AF31" s="53">
        <f>AE31/J31</f>
        <v>16.121722430472207</v>
      </c>
      <c r="AG31" s="67">
        <f>AA31/J31+AF31</f>
        <v>16.436618002367631</v>
      </c>
    </row>
    <row r="32" spans="1:33" x14ac:dyDescent="0.2">
      <c r="A32" s="27" t="s">
        <v>99</v>
      </c>
      <c r="B32" s="8" t="s">
        <v>11</v>
      </c>
      <c r="C32" s="9" t="s">
        <v>6</v>
      </c>
      <c r="D32" s="9" t="s">
        <v>56</v>
      </c>
      <c r="E32" s="9" t="s">
        <v>61</v>
      </c>
      <c r="F32" s="8" t="s">
        <v>2</v>
      </c>
      <c r="G32" s="24">
        <v>1.7</v>
      </c>
      <c r="H32" s="25">
        <v>720</v>
      </c>
      <c r="I32" s="8">
        <v>17</v>
      </c>
      <c r="J32" s="35">
        <v>12240</v>
      </c>
      <c r="K32" s="54">
        <f t="shared" si="1"/>
        <v>20808</v>
      </c>
      <c r="L32" s="50">
        <f t="shared" si="2"/>
        <v>21148</v>
      </c>
      <c r="M32" s="26">
        <v>199</v>
      </c>
      <c r="N32" s="58">
        <v>199</v>
      </c>
      <c r="O32" s="26">
        <f t="shared" si="0"/>
        <v>0</v>
      </c>
      <c r="P32" s="58">
        <f>M32*J32*$T$2/1000</f>
        <v>91147.60065600001</v>
      </c>
      <c r="Q32" s="65">
        <f>M32/1000/G32*$T$1</f>
        <v>0.14351411764705882</v>
      </c>
      <c r="R32" s="52">
        <v>0.17</v>
      </c>
      <c r="S32" s="53">
        <f>G32*J32*R32*$T$3</f>
        <v>108580.32640800001</v>
      </c>
      <c r="T32" s="55">
        <f>$T$9</f>
        <v>0</v>
      </c>
      <c r="U32" s="50">
        <f>$U$9*$T$2</f>
        <v>1609.0858000000001</v>
      </c>
      <c r="V32" s="50">
        <f>$V$9*$T$2</f>
        <v>37420.6</v>
      </c>
      <c r="W32" s="53">
        <f>$W$9*$T$2</f>
        <v>1871.03</v>
      </c>
      <c r="X32" s="53">
        <f>$X$9</f>
        <v>9000</v>
      </c>
      <c r="Y32" s="55">
        <f>$Y$9</f>
        <v>0</v>
      </c>
      <c r="Z32" s="53">
        <f>$Z$9*$T$2</f>
        <v>4864.6779999999999</v>
      </c>
      <c r="AA32" s="50">
        <f>$AA$9*$T$2*$AE$9</f>
        <v>3854.3218000000002</v>
      </c>
      <c r="AB32" s="67">
        <f>S32*$AB$9</f>
        <v>21716.065281600004</v>
      </c>
      <c r="AC32" s="67">
        <f>(S32+AB32)*$AC$9</f>
        <v>23453.350504128</v>
      </c>
      <c r="AD32" s="53">
        <f>$AD$9</f>
        <v>500</v>
      </c>
      <c r="AE32" s="53">
        <f>(P32+T32+U32+V32+W32+X32+Y32+Z32+AB32+AC32+AD32)*$AE$9</f>
        <v>197329.88254897983</v>
      </c>
      <c r="AF32" s="53">
        <f>AE32/J32</f>
        <v>16.121722430472207</v>
      </c>
      <c r="AG32" s="67">
        <f>AA32/J32+AF32</f>
        <v>16.436618002367631</v>
      </c>
    </row>
    <row r="33" spans="1:33" x14ac:dyDescent="0.2">
      <c r="A33" s="27"/>
      <c r="B33" s="8"/>
      <c r="C33" s="9"/>
      <c r="D33" s="9"/>
      <c r="E33" s="9"/>
      <c r="F33" s="8"/>
      <c r="G33" s="24"/>
      <c r="H33" s="25"/>
      <c r="I33" s="30"/>
      <c r="J33" s="36"/>
      <c r="K33" s="54"/>
      <c r="L33" s="50"/>
      <c r="M33" s="29"/>
      <c r="N33" s="58"/>
      <c r="O33" s="26">
        <f t="shared" si="0"/>
        <v>0</v>
      </c>
      <c r="P33" s="58"/>
      <c r="Q33" s="65"/>
      <c r="R33" s="52"/>
      <c r="S33" s="53"/>
      <c r="T33" s="55"/>
      <c r="U33" s="50"/>
      <c r="V33" s="50"/>
      <c r="W33" s="53"/>
      <c r="X33" s="53"/>
      <c r="Y33" s="55"/>
      <c r="Z33" s="53"/>
      <c r="AA33" s="50"/>
      <c r="AB33" s="67"/>
      <c r="AC33" s="67"/>
      <c r="AD33" s="53"/>
      <c r="AE33" s="53"/>
      <c r="AF33" s="53"/>
      <c r="AG33" s="67"/>
    </row>
    <row r="34" spans="1:33" x14ac:dyDescent="0.2">
      <c r="A34" s="22" t="s">
        <v>100</v>
      </c>
      <c r="B34" s="23" t="s">
        <v>12</v>
      </c>
      <c r="C34" s="5" t="s">
        <v>1</v>
      </c>
      <c r="D34" s="5" t="s">
        <v>56</v>
      </c>
      <c r="E34" s="5" t="s">
        <v>57</v>
      </c>
      <c r="F34" s="23" t="s">
        <v>2</v>
      </c>
      <c r="G34" s="24">
        <v>2.15</v>
      </c>
      <c r="H34" s="25">
        <v>600</v>
      </c>
      <c r="I34" s="8">
        <v>16</v>
      </c>
      <c r="J34" s="35">
        <v>9600</v>
      </c>
      <c r="K34" s="54">
        <f t="shared" si="1"/>
        <v>20640</v>
      </c>
      <c r="L34" s="50">
        <f t="shared" si="2"/>
        <v>20960</v>
      </c>
      <c r="M34" s="26">
        <v>200</v>
      </c>
      <c r="N34" s="58">
        <v>200</v>
      </c>
      <c r="O34" s="26">
        <f t="shared" si="0"/>
        <v>0</v>
      </c>
      <c r="P34" s="58">
        <f t="shared" ref="P34:P42" si="20">M34*J34*$T$2/1000</f>
        <v>71847.551999999996</v>
      </c>
      <c r="Q34" s="65">
        <f t="shared" ref="Q34:Q42" si="21">M34/1000/G34*$T$1</f>
        <v>0.11404651162790699</v>
      </c>
      <c r="R34" s="52">
        <v>0.17</v>
      </c>
      <c r="S34" s="53">
        <f t="shared" ref="S34:S42" si="22">G34*J34*R34*$T$3</f>
        <v>107703.66864</v>
      </c>
      <c r="T34" s="55">
        <f t="shared" ref="T34:T42" si="23">$T$9</f>
        <v>0</v>
      </c>
      <c r="U34" s="50">
        <f t="shared" ref="U34:U42" si="24">$U$9*$T$2</f>
        <v>1609.0858000000001</v>
      </c>
      <c r="V34" s="50">
        <f t="shared" ref="V34:V42" si="25">$V$9*$T$2</f>
        <v>37420.6</v>
      </c>
      <c r="W34" s="53">
        <f t="shared" ref="W34:W42" si="26">$W$9*$T$2</f>
        <v>1871.03</v>
      </c>
      <c r="X34" s="53">
        <f t="shared" ref="X34:X42" si="27">$X$9</f>
        <v>9000</v>
      </c>
      <c r="Y34" s="55">
        <f t="shared" ref="Y34:Y42" si="28">$Y$9</f>
        <v>0</v>
      </c>
      <c r="Z34" s="53">
        <f t="shared" ref="Z34:Z42" si="29">$Z$9*$T$2</f>
        <v>4864.6779999999999</v>
      </c>
      <c r="AA34" s="50">
        <f t="shared" ref="AA34:AA42" si="30">$AA$9*$T$2*$AE$9</f>
        <v>3854.3218000000002</v>
      </c>
      <c r="AB34" s="67">
        <f t="shared" ref="AB34:AB42" si="31">S34*$AB$9</f>
        <v>21540.733728000003</v>
      </c>
      <c r="AC34" s="67">
        <f t="shared" ref="AC34:AC42" si="32">(S34+AB34)*$AC$9</f>
        <v>23263.992426240002</v>
      </c>
      <c r="AD34" s="53">
        <f t="shared" ref="AD34:AD42" si="33">$AD$9</f>
        <v>500</v>
      </c>
      <c r="AE34" s="53">
        <f t="shared" ref="AE34:AE42" si="34">(P34+T34+U34+V34+W34+X34+Y34+Z34+AB34+AC34+AD34)*$AE$9</f>
        <v>177075.20211286721</v>
      </c>
      <c r="AF34" s="53">
        <f t="shared" ref="AF34:AF42" si="35">AE34/J34</f>
        <v>18.445333553423666</v>
      </c>
      <c r="AG34" s="67">
        <f t="shared" ref="AG34:AG42" si="36">AA34/J34+AF34</f>
        <v>18.846825407590334</v>
      </c>
    </row>
    <row r="35" spans="1:33" x14ac:dyDescent="0.2">
      <c r="A35" s="22" t="s">
        <v>101</v>
      </c>
      <c r="B35" s="23" t="s">
        <v>12</v>
      </c>
      <c r="C35" s="5" t="s">
        <v>5</v>
      </c>
      <c r="D35" s="5" t="s">
        <v>59</v>
      </c>
      <c r="E35" s="5" t="s">
        <v>57</v>
      </c>
      <c r="F35" s="23" t="s">
        <v>2</v>
      </c>
      <c r="G35" s="24">
        <v>2.25</v>
      </c>
      <c r="H35" s="25">
        <v>600</v>
      </c>
      <c r="I35" s="8">
        <v>16</v>
      </c>
      <c r="J35" s="35">
        <v>9600</v>
      </c>
      <c r="K35" s="54">
        <f t="shared" si="1"/>
        <v>21600</v>
      </c>
      <c r="L35" s="50">
        <f t="shared" si="2"/>
        <v>21920</v>
      </c>
      <c r="M35" s="26">
        <v>220</v>
      </c>
      <c r="N35" s="58">
        <v>220</v>
      </c>
      <c r="O35" s="26">
        <f t="shared" si="0"/>
        <v>0</v>
      </c>
      <c r="P35" s="58">
        <f t="shared" si="20"/>
        <v>79032.30720000001</v>
      </c>
      <c r="Q35" s="65">
        <f t="shared" si="21"/>
        <v>0.11987555555555555</v>
      </c>
      <c r="R35" s="52">
        <v>0.17</v>
      </c>
      <c r="S35" s="53">
        <f t="shared" si="22"/>
        <v>112713.14160000002</v>
      </c>
      <c r="T35" s="55">
        <f t="shared" si="23"/>
        <v>0</v>
      </c>
      <c r="U35" s="50">
        <f t="shared" si="24"/>
        <v>1609.0858000000001</v>
      </c>
      <c r="V35" s="50">
        <f t="shared" si="25"/>
        <v>37420.6</v>
      </c>
      <c r="W35" s="53">
        <f t="shared" si="26"/>
        <v>1871.03</v>
      </c>
      <c r="X35" s="53">
        <f t="shared" si="27"/>
        <v>9000</v>
      </c>
      <c r="Y35" s="55">
        <f t="shared" si="28"/>
        <v>0</v>
      </c>
      <c r="Z35" s="53">
        <f t="shared" si="29"/>
        <v>4864.6779999999999</v>
      </c>
      <c r="AA35" s="50">
        <f t="shared" si="30"/>
        <v>3854.3218000000002</v>
      </c>
      <c r="AB35" s="67">
        <f t="shared" si="31"/>
        <v>22542.628320000003</v>
      </c>
      <c r="AC35" s="67">
        <f t="shared" si="32"/>
        <v>24346.038585600003</v>
      </c>
      <c r="AD35" s="53">
        <f t="shared" si="33"/>
        <v>500</v>
      </c>
      <c r="AE35" s="53">
        <f t="shared" si="34"/>
        <v>186621.95894276802</v>
      </c>
      <c r="AF35" s="53">
        <f t="shared" si="35"/>
        <v>19.439787389871668</v>
      </c>
      <c r="AG35" s="67">
        <f t="shared" si="36"/>
        <v>19.841279244038336</v>
      </c>
    </row>
    <row r="36" spans="1:33" x14ac:dyDescent="0.2">
      <c r="A36" s="27" t="s">
        <v>169</v>
      </c>
      <c r="B36" s="23" t="s">
        <v>12</v>
      </c>
      <c r="C36" s="5" t="s">
        <v>144</v>
      </c>
      <c r="D36" s="9" t="s">
        <v>58</v>
      </c>
      <c r="E36" s="5" t="s">
        <v>57</v>
      </c>
      <c r="F36" s="8" t="s">
        <v>3</v>
      </c>
      <c r="G36" s="24">
        <v>1.72</v>
      </c>
      <c r="H36" s="25">
        <v>600</v>
      </c>
      <c r="I36" s="8">
        <v>20</v>
      </c>
      <c r="J36" s="35">
        <v>12000</v>
      </c>
      <c r="K36" s="54">
        <f t="shared" si="1"/>
        <v>20640</v>
      </c>
      <c r="L36" s="50">
        <f t="shared" si="2"/>
        <v>21040</v>
      </c>
      <c r="M36" s="26">
        <v>220</v>
      </c>
      <c r="N36" s="58">
        <v>220</v>
      </c>
      <c r="O36" s="26">
        <f t="shared" si="0"/>
        <v>0</v>
      </c>
      <c r="P36" s="58">
        <f t="shared" si="20"/>
        <v>98790.384000000005</v>
      </c>
      <c r="Q36" s="65">
        <f t="shared" si="21"/>
        <v>0.1568139534883721</v>
      </c>
      <c r="R36" s="52">
        <v>0.17</v>
      </c>
      <c r="S36" s="53">
        <f t="shared" si="22"/>
        <v>107703.66864</v>
      </c>
      <c r="T36" s="55">
        <f t="shared" si="23"/>
        <v>0</v>
      </c>
      <c r="U36" s="50">
        <f t="shared" si="24"/>
        <v>1609.0858000000001</v>
      </c>
      <c r="V36" s="50">
        <f t="shared" si="25"/>
        <v>37420.6</v>
      </c>
      <c r="W36" s="53">
        <f t="shared" si="26"/>
        <v>1871.03</v>
      </c>
      <c r="X36" s="53">
        <f t="shared" si="27"/>
        <v>9000</v>
      </c>
      <c r="Y36" s="55">
        <f t="shared" si="28"/>
        <v>0</v>
      </c>
      <c r="Z36" s="53">
        <f t="shared" si="29"/>
        <v>4864.6779999999999</v>
      </c>
      <c r="AA36" s="50">
        <f t="shared" si="30"/>
        <v>3854.3218000000002</v>
      </c>
      <c r="AB36" s="67">
        <f t="shared" si="31"/>
        <v>21540.733728000003</v>
      </c>
      <c r="AC36" s="67">
        <f t="shared" si="32"/>
        <v>23263.992426240002</v>
      </c>
      <c r="AD36" s="53">
        <f t="shared" si="33"/>
        <v>500</v>
      </c>
      <c r="AE36" s="53">
        <f t="shared" si="34"/>
        <v>204826.31907286719</v>
      </c>
      <c r="AF36" s="53">
        <f t="shared" si="35"/>
        <v>17.068859922738934</v>
      </c>
      <c r="AG36" s="67">
        <f t="shared" si="36"/>
        <v>17.390053406072266</v>
      </c>
    </row>
    <row r="37" spans="1:33" x14ac:dyDescent="0.2">
      <c r="A37" s="27" t="s">
        <v>102</v>
      </c>
      <c r="B37" s="23" t="s">
        <v>12</v>
      </c>
      <c r="C37" s="5" t="s">
        <v>6</v>
      </c>
      <c r="D37" s="9" t="s">
        <v>56</v>
      </c>
      <c r="E37" s="9" t="s">
        <v>61</v>
      </c>
      <c r="F37" s="8" t="s">
        <v>2</v>
      </c>
      <c r="G37" s="24">
        <v>2.15</v>
      </c>
      <c r="H37" s="25">
        <v>600</v>
      </c>
      <c r="I37" s="8">
        <v>16</v>
      </c>
      <c r="J37" s="35">
        <v>9600</v>
      </c>
      <c r="K37" s="54">
        <f t="shared" si="1"/>
        <v>20640</v>
      </c>
      <c r="L37" s="50">
        <f t="shared" si="2"/>
        <v>20960</v>
      </c>
      <c r="M37" s="26">
        <v>200</v>
      </c>
      <c r="N37" s="58">
        <v>200</v>
      </c>
      <c r="O37" s="26">
        <f t="shared" si="0"/>
        <v>0</v>
      </c>
      <c r="P37" s="58">
        <f t="shared" si="20"/>
        <v>71847.551999999996</v>
      </c>
      <c r="Q37" s="65">
        <f t="shared" si="21"/>
        <v>0.11404651162790699</v>
      </c>
      <c r="R37" s="52">
        <v>0.17</v>
      </c>
      <c r="S37" s="53">
        <f t="shared" si="22"/>
        <v>107703.66864</v>
      </c>
      <c r="T37" s="55">
        <f t="shared" si="23"/>
        <v>0</v>
      </c>
      <c r="U37" s="50">
        <f t="shared" si="24"/>
        <v>1609.0858000000001</v>
      </c>
      <c r="V37" s="50">
        <f t="shared" si="25"/>
        <v>37420.6</v>
      </c>
      <c r="W37" s="53">
        <f t="shared" si="26"/>
        <v>1871.03</v>
      </c>
      <c r="X37" s="53">
        <f t="shared" si="27"/>
        <v>9000</v>
      </c>
      <c r="Y37" s="55">
        <f t="shared" si="28"/>
        <v>0</v>
      </c>
      <c r="Z37" s="53">
        <f t="shared" si="29"/>
        <v>4864.6779999999999</v>
      </c>
      <c r="AA37" s="50">
        <f t="shared" si="30"/>
        <v>3854.3218000000002</v>
      </c>
      <c r="AB37" s="67">
        <f t="shared" si="31"/>
        <v>21540.733728000003</v>
      </c>
      <c r="AC37" s="67">
        <f t="shared" si="32"/>
        <v>23263.992426240002</v>
      </c>
      <c r="AD37" s="53">
        <f t="shared" si="33"/>
        <v>500</v>
      </c>
      <c r="AE37" s="53">
        <f t="shared" si="34"/>
        <v>177075.20211286721</v>
      </c>
      <c r="AF37" s="53">
        <f t="shared" si="35"/>
        <v>18.445333553423666</v>
      </c>
      <c r="AG37" s="67">
        <f t="shared" si="36"/>
        <v>18.846825407590334</v>
      </c>
    </row>
    <row r="38" spans="1:33" x14ac:dyDescent="0.2">
      <c r="A38" s="27" t="s">
        <v>103</v>
      </c>
      <c r="B38" s="23" t="s">
        <v>12</v>
      </c>
      <c r="C38" s="5" t="s">
        <v>7</v>
      </c>
      <c r="D38" s="9" t="s">
        <v>59</v>
      </c>
      <c r="E38" s="9" t="s">
        <v>61</v>
      </c>
      <c r="F38" s="8" t="s">
        <v>2</v>
      </c>
      <c r="G38" s="24">
        <v>2.25</v>
      </c>
      <c r="H38" s="25">
        <v>600</v>
      </c>
      <c r="I38" s="8">
        <v>16</v>
      </c>
      <c r="J38" s="35">
        <v>9600</v>
      </c>
      <c r="K38" s="54">
        <f t="shared" si="1"/>
        <v>21600</v>
      </c>
      <c r="L38" s="50">
        <f t="shared" si="2"/>
        <v>21920</v>
      </c>
      <c r="M38" s="26">
        <v>220</v>
      </c>
      <c r="N38" s="58">
        <v>220</v>
      </c>
      <c r="O38" s="26">
        <f t="shared" si="0"/>
        <v>0</v>
      </c>
      <c r="P38" s="58">
        <f t="shared" si="20"/>
        <v>79032.30720000001</v>
      </c>
      <c r="Q38" s="65">
        <f t="shared" si="21"/>
        <v>0.11987555555555555</v>
      </c>
      <c r="R38" s="52">
        <v>0.17</v>
      </c>
      <c r="S38" s="53">
        <f t="shared" si="22"/>
        <v>112713.14160000002</v>
      </c>
      <c r="T38" s="55">
        <f t="shared" si="23"/>
        <v>0</v>
      </c>
      <c r="U38" s="50">
        <f t="shared" si="24"/>
        <v>1609.0858000000001</v>
      </c>
      <c r="V38" s="50">
        <f t="shared" si="25"/>
        <v>37420.6</v>
      </c>
      <c r="W38" s="53">
        <f t="shared" si="26"/>
        <v>1871.03</v>
      </c>
      <c r="X38" s="53">
        <f t="shared" si="27"/>
        <v>9000</v>
      </c>
      <c r="Y38" s="55">
        <f t="shared" si="28"/>
        <v>0</v>
      </c>
      <c r="Z38" s="53">
        <f t="shared" si="29"/>
        <v>4864.6779999999999</v>
      </c>
      <c r="AA38" s="50">
        <f t="shared" si="30"/>
        <v>3854.3218000000002</v>
      </c>
      <c r="AB38" s="67">
        <f t="shared" si="31"/>
        <v>22542.628320000003</v>
      </c>
      <c r="AC38" s="67">
        <f t="shared" si="32"/>
        <v>24346.038585600003</v>
      </c>
      <c r="AD38" s="53">
        <f t="shared" si="33"/>
        <v>500</v>
      </c>
      <c r="AE38" s="53">
        <f t="shared" si="34"/>
        <v>186621.95894276802</v>
      </c>
      <c r="AF38" s="53">
        <f t="shared" si="35"/>
        <v>19.439787389871668</v>
      </c>
      <c r="AG38" s="67">
        <f t="shared" si="36"/>
        <v>19.841279244038336</v>
      </c>
    </row>
    <row r="39" spans="1:33" x14ac:dyDescent="0.2">
      <c r="A39" s="27" t="s">
        <v>170</v>
      </c>
      <c r="B39" s="23" t="s">
        <v>12</v>
      </c>
      <c r="C39" s="9" t="s">
        <v>145</v>
      </c>
      <c r="D39" s="9" t="s">
        <v>58</v>
      </c>
      <c r="E39" s="9" t="s">
        <v>61</v>
      </c>
      <c r="F39" s="8" t="s">
        <v>3</v>
      </c>
      <c r="G39" s="24">
        <v>1.72</v>
      </c>
      <c r="H39" s="25">
        <v>600</v>
      </c>
      <c r="I39" s="8">
        <v>20</v>
      </c>
      <c r="J39" s="35">
        <v>12000</v>
      </c>
      <c r="K39" s="54">
        <f t="shared" si="1"/>
        <v>20640</v>
      </c>
      <c r="L39" s="50">
        <f t="shared" si="2"/>
        <v>21040</v>
      </c>
      <c r="M39" s="26">
        <v>220</v>
      </c>
      <c r="N39" s="58">
        <v>220</v>
      </c>
      <c r="O39" s="26">
        <f t="shared" si="0"/>
        <v>0</v>
      </c>
      <c r="P39" s="58">
        <f t="shared" si="20"/>
        <v>98790.384000000005</v>
      </c>
      <c r="Q39" s="65">
        <f t="shared" si="21"/>
        <v>0.1568139534883721</v>
      </c>
      <c r="R39" s="52">
        <v>0.17</v>
      </c>
      <c r="S39" s="53">
        <f t="shared" si="22"/>
        <v>107703.66864</v>
      </c>
      <c r="T39" s="55">
        <f t="shared" si="23"/>
        <v>0</v>
      </c>
      <c r="U39" s="50">
        <f t="shared" si="24"/>
        <v>1609.0858000000001</v>
      </c>
      <c r="V39" s="50">
        <f t="shared" si="25"/>
        <v>37420.6</v>
      </c>
      <c r="W39" s="53">
        <f t="shared" si="26"/>
        <v>1871.03</v>
      </c>
      <c r="X39" s="53">
        <f t="shared" si="27"/>
        <v>9000</v>
      </c>
      <c r="Y39" s="55">
        <f t="shared" si="28"/>
        <v>0</v>
      </c>
      <c r="Z39" s="53">
        <f t="shared" si="29"/>
        <v>4864.6779999999999</v>
      </c>
      <c r="AA39" s="50">
        <f t="shared" si="30"/>
        <v>3854.3218000000002</v>
      </c>
      <c r="AB39" s="67">
        <f t="shared" si="31"/>
        <v>21540.733728000003</v>
      </c>
      <c r="AC39" s="67">
        <f t="shared" si="32"/>
        <v>23263.992426240002</v>
      </c>
      <c r="AD39" s="53">
        <f t="shared" si="33"/>
        <v>500</v>
      </c>
      <c r="AE39" s="53">
        <f t="shared" si="34"/>
        <v>204826.31907286719</v>
      </c>
      <c r="AF39" s="53">
        <f t="shared" si="35"/>
        <v>17.068859922738934</v>
      </c>
      <c r="AG39" s="67">
        <f t="shared" si="36"/>
        <v>17.390053406072266</v>
      </c>
    </row>
    <row r="40" spans="1:33" x14ac:dyDescent="0.2">
      <c r="A40" s="27" t="s">
        <v>104</v>
      </c>
      <c r="B40" s="23" t="s">
        <v>12</v>
      </c>
      <c r="C40" s="5" t="s">
        <v>8</v>
      </c>
      <c r="D40" s="9" t="s">
        <v>56</v>
      </c>
      <c r="E40" s="5" t="s">
        <v>62</v>
      </c>
      <c r="F40" s="23" t="s">
        <v>2</v>
      </c>
      <c r="G40" s="24">
        <v>2.15</v>
      </c>
      <c r="H40" s="25">
        <v>600</v>
      </c>
      <c r="I40" s="8">
        <v>16</v>
      </c>
      <c r="J40" s="35">
        <v>9600</v>
      </c>
      <c r="K40" s="54">
        <f t="shared" si="1"/>
        <v>20640</v>
      </c>
      <c r="L40" s="50">
        <f t="shared" si="2"/>
        <v>20960</v>
      </c>
      <c r="M40" s="26">
        <v>200</v>
      </c>
      <c r="N40" s="58">
        <v>200</v>
      </c>
      <c r="O40" s="26">
        <f t="shared" si="0"/>
        <v>0</v>
      </c>
      <c r="P40" s="58">
        <f t="shared" si="20"/>
        <v>71847.551999999996</v>
      </c>
      <c r="Q40" s="65">
        <f t="shared" si="21"/>
        <v>0.11404651162790699</v>
      </c>
      <c r="R40" s="52">
        <v>0.17</v>
      </c>
      <c r="S40" s="53">
        <f t="shared" si="22"/>
        <v>107703.66864</v>
      </c>
      <c r="T40" s="55">
        <f t="shared" si="23"/>
        <v>0</v>
      </c>
      <c r="U40" s="50">
        <f t="shared" si="24"/>
        <v>1609.0858000000001</v>
      </c>
      <c r="V40" s="50">
        <f t="shared" si="25"/>
        <v>37420.6</v>
      </c>
      <c r="W40" s="53">
        <f t="shared" si="26"/>
        <v>1871.03</v>
      </c>
      <c r="X40" s="53">
        <f t="shared" si="27"/>
        <v>9000</v>
      </c>
      <c r="Y40" s="55">
        <f t="shared" si="28"/>
        <v>0</v>
      </c>
      <c r="Z40" s="53">
        <f t="shared" si="29"/>
        <v>4864.6779999999999</v>
      </c>
      <c r="AA40" s="50">
        <f t="shared" si="30"/>
        <v>3854.3218000000002</v>
      </c>
      <c r="AB40" s="67">
        <f t="shared" si="31"/>
        <v>21540.733728000003</v>
      </c>
      <c r="AC40" s="67">
        <f t="shared" si="32"/>
        <v>23263.992426240002</v>
      </c>
      <c r="AD40" s="53">
        <f t="shared" si="33"/>
        <v>500</v>
      </c>
      <c r="AE40" s="53">
        <f t="shared" si="34"/>
        <v>177075.20211286721</v>
      </c>
      <c r="AF40" s="53">
        <f t="shared" si="35"/>
        <v>18.445333553423666</v>
      </c>
      <c r="AG40" s="67">
        <f t="shared" si="36"/>
        <v>18.846825407590334</v>
      </c>
    </row>
    <row r="41" spans="1:33" x14ac:dyDescent="0.2">
      <c r="A41" s="27" t="s">
        <v>105</v>
      </c>
      <c r="B41" s="23" t="s">
        <v>12</v>
      </c>
      <c r="C41" s="5" t="s">
        <v>9</v>
      </c>
      <c r="D41" s="5" t="s">
        <v>59</v>
      </c>
      <c r="E41" s="5" t="s">
        <v>62</v>
      </c>
      <c r="F41" s="23" t="s">
        <v>2</v>
      </c>
      <c r="G41" s="24">
        <v>2.25</v>
      </c>
      <c r="H41" s="25">
        <v>600</v>
      </c>
      <c r="I41" s="8">
        <v>16</v>
      </c>
      <c r="J41" s="35">
        <v>9600</v>
      </c>
      <c r="K41" s="54">
        <f t="shared" si="1"/>
        <v>21600</v>
      </c>
      <c r="L41" s="50">
        <f t="shared" si="2"/>
        <v>21920</v>
      </c>
      <c r="M41" s="26">
        <v>220</v>
      </c>
      <c r="N41" s="58">
        <v>220</v>
      </c>
      <c r="O41" s="26">
        <f t="shared" si="0"/>
        <v>0</v>
      </c>
      <c r="P41" s="58">
        <f t="shared" si="20"/>
        <v>79032.30720000001</v>
      </c>
      <c r="Q41" s="65">
        <f t="shared" si="21"/>
        <v>0.11987555555555555</v>
      </c>
      <c r="R41" s="52">
        <v>0.17</v>
      </c>
      <c r="S41" s="53">
        <f t="shared" si="22"/>
        <v>112713.14160000002</v>
      </c>
      <c r="T41" s="55">
        <f t="shared" si="23"/>
        <v>0</v>
      </c>
      <c r="U41" s="50">
        <f t="shared" si="24"/>
        <v>1609.0858000000001</v>
      </c>
      <c r="V41" s="50">
        <f t="shared" si="25"/>
        <v>37420.6</v>
      </c>
      <c r="W41" s="53">
        <f t="shared" si="26"/>
        <v>1871.03</v>
      </c>
      <c r="X41" s="53">
        <f t="shared" si="27"/>
        <v>9000</v>
      </c>
      <c r="Y41" s="55">
        <f t="shared" si="28"/>
        <v>0</v>
      </c>
      <c r="Z41" s="53">
        <f t="shared" si="29"/>
        <v>4864.6779999999999</v>
      </c>
      <c r="AA41" s="50">
        <f t="shared" si="30"/>
        <v>3854.3218000000002</v>
      </c>
      <c r="AB41" s="67">
        <f t="shared" si="31"/>
        <v>22542.628320000003</v>
      </c>
      <c r="AC41" s="67">
        <f t="shared" si="32"/>
        <v>24346.038585600003</v>
      </c>
      <c r="AD41" s="53">
        <f t="shared" si="33"/>
        <v>500</v>
      </c>
      <c r="AE41" s="53">
        <f t="shared" si="34"/>
        <v>186621.95894276802</v>
      </c>
      <c r="AF41" s="53">
        <f t="shared" si="35"/>
        <v>19.439787389871668</v>
      </c>
      <c r="AG41" s="67">
        <f t="shared" si="36"/>
        <v>19.841279244038336</v>
      </c>
    </row>
    <row r="42" spans="1:33" x14ac:dyDescent="0.2">
      <c r="A42" s="27" t="s">
        <v>171</v>
      </c>
      <c r="B42" s="23" t="s">
        <v>12</v>
      </c>
      <c r="C42" s="9" t="s">
        <v>172</v>
      </c>
      <c r="D42" s="9" t="s">
        <v>58</v>
      </c>
      <c r="E42" s="5" t="s">
        <v>62</v>
      </c>
      <c r="F42" s="8" t="s">
        <v>3</v>
      </c>
      <c r="G42" s="24">
        <v>1.72</v>
      </c>
      <c r="H42" s="25">
        <v>600</v>
      </c>
      <c r="I42" s="8">
        <v>20</v>
      </c>
      <c r="J42" s="35">
        <v>12000</v>
      </c>
      <c r="K42" s="54">
        <f t="shared" si="1"/>
        <v>20640</v>
      </c>
      <c r="L42" s="50">
        <f t="shared" si="2"/>
        <v>21040</v>
      </c>
      <c r="M42" s="26">
        <v>220</v>
      </c>
      <c r="N42" s="58">
        <v>220</v>
      </c>
      <c r="O42" s="26">
        <f t="shared" si="0"/>
        <v>0</v>
      </c>
      <c r="P42" s="58">
        <f t="shared" si="20"/>
        <v>98790.384000000005</v>
      </c>
      <c r="Q42" s="65">
        <f t="shared" si="21"/>
        <v>0.1568139534883721</v>
      </c>
      <c r="R42" s="52">
        <v>0.17</v>
      </c>
      <c r="S42" s="53">
        <f t="shared" si="22"/>
        <v>107703.66864</v>
      </c>
      <c r="T42" s="55">
        <f t="shared" si="23"/>
        <v>0</v>
      </c>
      <c r="U42" s="50">
        <f t="shared" si="24"/>
        <v>1609.0858000000001</v>
      </c>
      <c r="V42" s="50">
        <f t="shared" si="25"/>
        <v>37420.6</v>
      </c>
      <c r="W42" s="53">
        <f t="shared" si="26"/>
        <v>1871.03</v>
      </c>
      <c r="X42" s="53">
        <f t="shared" si="27"/>
        <v>9000</v>
      </c>
      <c r="Y42" s="55">
        <f t="shared" si="28"/>
        <v>0</v>
      </c>
      <c r="Z42" s="53">
        <f t="shared" si="29"/>
        <v>4864.6779999999999</v>
      </c>
      <c r="AA42" s="50">
        <f t="shared" si="30"/>
        <v>3854.3218000000002</v>
      </c>
      <c r="AB42" s="67">
        <f t="shared" si="31"/>
        <v>21540.733728000003</v>
      </c>
      <c r="AC42" s="67">
        <f t="shared" si="32"/>
        <v>23263.992426240002</v>
      </c>
      <c r="AD42" s="53">
        <f t="shared" si="33"/>
        <v>500</v>
      </c>
      <c r="AE42" s="53">
        <f t="shared" si="34"/>
        <v>204826.31907286719</v>
      </c>
      <c r="AF42" s="53">
        <f t="shared" si="35"/>
        <v>17.068859922738934</v>
      </c>
      <c r="AG42" s="67">
        <f t="shared" si="36"/>
        <v>17.390053406072266</v>
      </c>
    </row>
    <row r="43" spans="1:33" x14ac:dyDescent="0.2">
      <c r="A43" s="27"/>
      <c r="B43" s="23"/>
      <c r="C43" s="9"/>
      <c r="D43" s="9"/>
      <c r="E43" s="5"/>
      <c r="F43" s="8"/>
      <c r="G43" s="24"/>
      <c r="H43" s="25"/>
      <c r="I43" s="8"/>
      <c r="J43" s="35"/>
      <c r="K43" s="54"/>
      <c r="L43" s="50"/>
      <c r="M43" s="26"/>
      <c r="N43" s="58"/>
      <c r="O43" s="26">
        <f t="shared" si="0"/>
        <v>0</v>
      </c>
      <c r="P43" s="58"/>
      <c r="Q43" s="65"/>
      <c r="R43" s="52"/>
      <c r="S43" s="53"/>
      <c r="T43" s="55"/>
      <c r="U43" s="50"/>
      <c r="V43" s="50"/>
      <c r="W43" s="53"/>
      <c r="X43" s="53"/>
      <c r="Y43" s="55"/>
      <c r="Z43" s="53"/>
      <c r="AA43" s="50"/>
      <c r="AB43" s="67"/>
      <c r="AC43" s="67"/>
      <c r="AD43" s="53"/>
      <c r="AE43" s="53"/>
      <c r="AF43" s="53"/>
      <c r="AG43" s="67"/>
    </row>
    <row r="44" spans="1:33" x14ac:dyDescent="0.2">
      <c r="A44" s="22" t="s">
        <v>180</v>
      </c>
      <c r="B44" s="23" t="s">
        <v>181</v>
      </c>
      <c r="C44" s="5" t="s">
        <v>1</v>
      </c>
      <c r="D44" s="5" t="s">
        <v>56</v>
      </c>
      <c r="E44" s="5" t="s">
        <v>57</v>
      </c>
      <c r="F44" s="23" t="s">
        <v>2</v>
      </c>
      <c r="G44" s="24">
        <v>2.25</v>
      </c>
      <c r="H44" s="25">
        <v>540</v>
      </c>
      <c r="I44" s="8">
        <v>17</v>
      </c>
      <c r="J44" s="35">
        <v>9180</v>
      </c>
      <c r="K44" s="54">
        <f t="shared" si="1"/>
        <v>20655</v>
      </c>
      <c r="L44" s="50">
        <f t="shared" si="2"/>
        <v>20995</v>
      </c>
      <c r="M44" s="26">
        <v>180</v>
      </c>
      <c r="N44" s="58">
        <v>180</v>
      </c>
      <c r="O44" s="26">
        <f t="shared" si="0"/>
        <v>0</v>
      </c>
      <c r="P44" s="58">
        <f t="shared" ref="P44:P49" si="37">M44*J44*$T$2/1000</f>
        <v>61833.799439999995</v>
      </c>
      <c r="Q44" s="65">
        <f t="shared" ref="Q44:Q49" si="38">M44/1000/G44*$T$1</f>
        <v>9.8080000000000001E-2</v>
      </c>
      <c r="R44" s="52">
        <v>0.17</v>
      </c>
      <c r="S44" s="53">
        <f t="shared" ref="S44:S49" si="39">G44*J44*R44*$T$3</f>
        <v>107781.94165500002</v>
      </c>
      <c r="T44" s="55">
        <f t="shared" ref="T44:T49" si="40">$T$9</f>
        <v>0</v>
      </c>
      <c r="U44" s="50">
        <f t="shared" ref="U44:U49" si="41">$U$9*$T$2</f>
        <v>1609.0858000000001</v>
      </c>
      <c r="V44" s="50">
        <f t="shared" ref="V44:V49" si="42">$V$9*$T$2</f>
        <v>37420.6</v>
      </c>
      <c r="W44" s="53">
        <f t="shared" ref="W44:W49" si="43">$W$9*$T$2</f>
        <v>1871.03</v>
      </c>
      <c r="X44" s="53">
        <f t="shared" ref="X44:X49" si="44">$X$9</f>
        <v>9000</v>
      </c>
      <c r="Y44" s="55">
        <f t="shared" ref="Y44:Y49" si="45">$Y$9</f>
        <v>0</v>
      </c>
      <c r="Z44" s="53">
        <f t="shared" ref="Z44:Z49" si="46">$Z$9*$T$2</f>
        <v>4864.6779999999999</v>
      </c>
      <c r="AA44" s="50">
        <f t="shared" ref="AA44:AA49" si="47">$AA$9*$T$2*$AE$9</f>
        <v>3854.3218000000002</v>
      </c>
      <c r="AB44" s="67">
        <f t="shared" ref="AB44:AB49" si="48">S44*$AB$9</f>
        <v>21556.388331000006</v>
      </c>
      <c r="AC44" s="67">
        <f t="shared" ref="AC44:AC49" si="49">(S44+AB44)*$AC$9</f>
        <v>23280.899397480003</v>
      </c>
      <c r="AD44" s="53">
        <f t="shared" ref="AD44:AD49" si="50">$AD$9</f>
        <v>500</v>
      </c>
      <c r="AE44" s="53">
        <f t="shared" ref="AE44:AE49" si="51">(P44+T44+U44+V44+W44+X44+Y44+Z44+AB44+AC44+AD44)*$AE$9</f>
        <v>166794.57539753441</v>
      </c>
      <c r="AF44" s="53">
        <f t="shared" ref="AF44:AF49" si="52">AE44/J44</f>
        <v>18.169343725221612</v>
      </c>
      <c r="AG44" s="67">
        <f t="shared" ref="AG44:AG49" si="53">AA44/J44+AF44</f>
        <v>18.589204487748844</v>
      </c>
    </row>
    <row r="45" spans="1:33" x14ac:dyDescent="0.2">
      <c r="A45" s="22" t="s">
        <v>182</v>
      </c>
      <c r="B45" s="23" t="s">
        <v>181</v>
      </c>
      <c r="C45" s="5" t="s">
        <v>5</v>
      </c>
      <c r="D45" s="5" t="s">
        <v>59</v>
      </c>
      <c r="E45" s="5" t="s">
        <v>57</v>
      </c>
      <c r="F45" s="23" t="s">
        <v>2</v>
      </c>
      <c r="G45" s="24">
        <v>2.35</v>
      </c>
      <c r="H45" s="25">
        <v>540</v>
      </c>
      <c r="I45" s="8">
        <v>17</v>
      </c>
      <c r="J45" s="35">
        <v>9180</v>
      </c>
      <c r="K45" s="54">
        <f t="shared" si="1"/>
        <v>21573</v>
      </c>
      <c r="L45" s="50">
        <f t="shared" si="2"/>
        <v>21913</v>
      </c>
      <c r="M45" s="26">
        <v>220</v>
      </c>
      <c r="N45" s="58">
        <v>220</v>
      </c>
      <c r="O45" s="26">
        <f t="shared" si="0"/>
        <v>0</v>
      </c>
      <c r="P45" s="58">
        <f t="shared" si="37"/>
        <v>75574.643760000006</v>
      </c>
      <c r="Q45" s="65">
        <f t="shared" si="38"/>
        <v>0.11477446808510637</v>
      </c>
      <c r="R45" s="52">
        <v>0.17</v>
      </c>
      <c r="S45" s="53">
        <f t="shared" si="39"/>
        <v>112572.25017300001</v>
      </c>
      <c r="T45" s="55">
        <f t="shared" si="40"/>
        <v>0</v>
      </c>
      <c r="U45" s="50">
        <f t="shared" si="41"/>
        <v>1609.0858000000001</v>
      </c>
      <c r="V45" s="50">
        <f t="shared" si="42"/>
        <v>37420.6</v>
      </c>
      <c r="W45" s="53">
        <f t="shared" si="43"/>
        <v>1871.03</v>
      </c>
      <c r="X45" s="53">
        <f t="shared" si="44"/>
        <v>9000</v>
      </c>
      <c r="Y45" s="55">
        <f t="shared" si="45"/>
        <v>0</v>
      </c>
      <c r="Z45" s="53">
        <f t="shared" si="46"/>
        <v>4864.6779999999999</v>
      </c>
      <c r="AA45" s="50">
        <f t="shared" si="47"/>
        <v>3854.3218000000002</v>
      </c>
      <c r="AB45" s="67">
        <f t="shared" si="48"/>
        <v>22514.450034600002</v>
      </c>
      <c r="AC45" s="67">
        <f t="shared" si="49"/>
        <v>24315.606037368001</v>
      </c>
      <c r="AD45" s="53">
        <f t="shared" si="50"/>
        <v>500</v>
      </c>
      <c r="AE45" s="53">
        <f t="shared" si="51"/>
        <v>183000.19644092707</v>
      </c>
      <c r="AF45" s="53">
        <f t="shared" si="52"/>
        <v>19.934661921669615</v>
      </c>
      <c r="AG45" s="67">
        <f t="shared" si="53"/>
        <v>20.354522684196848</v>
      </c>
    </row>
    <row r="46" spans="1:33" x14ac:dyDescent="0.2">
      <c r="A46" s="27" t="s">
        <v>183</v>
      </c>
      <c r="B46" s="23" t="s">
        <v>181</v>
      </c>
      <c r="C46" s="5" t="s">
        <v>6</v>
      </c>
      <c r="D46" s="9" t="s">
        <v>56</v>
      </c>
      <c r="E46" s="9" t="s">
        <v>61</v>
      </c>
      <c r="F46" s="8" t="s">
        <v>2</v>
      </c>
      <c r="G46" s="24">
        <v>2.25</v>
      </c>
      <c r="H46" s="25">
        <v>540</v>
      </c>
      <c r="I46" s="8">
        <v>17</v>
      </c>
      <c r="J46" s="35">
        <v>9180</v>
      </c>
      <c r="K46" s="54">
        <f t="shared" si="1"/>
        <v>20655</v>
      </c>
      <c r="L46" s="50">
        <f t="shared" si="2"/>
        <v>20995</v>
      </c>
      <c r="M46" s="26">
        <v>180</v>
      </c>
      <c r="N46" s="58">
        <v>180</v>
      </c>
      <c r="O46" s="26">
        <f t="shared" si="0"/>
        <v>0</v>
      </c>
      <c r="P46" s="58">
        <f t="shared" si="37"/>
        <v>61833.799439999995</v>
      </c>
      <c r="Q46" s="65">
        <f t="shared" si="38"/>
        <v>9.8080000000000001E-2</v>
      </c>
      <c r="R46" s="52">
        <v>0.17</v>
      </c>
      <c r="S46" s="53">
        <f t="shared" si="39"/>
        <v>107781.94165500002</v>
      </c>
      <c r="T46" s="55">
        <f t="shared" si="40"/>
        <v>0</v>
      </c>
      <c r="U46" s="50">
        <f t="shared" si="41"/>
        <v>1609.0858000000001</v>
      </c>
      <c r="V46" s="50">
        <f t="shared" si="42"/>
        <v>37420.6</v>
      </c>
      <c r="W46" s="53">
        <f t="shared" si="43"/>
        <v>1871.03</v>
      </c>
      <c r="X46" s="53">
        <f t="shared" si="44"/>
        <v>9000</v>
      </c>
      <c r="Y46" s="55">
        <f t="shared" si="45"/>
        <v>0</v>
      </c>
      <c r="Z46" s="53">
        <f t="shared" si="46"/>
        <v>4864.6779999999999</v>
      </c>
      <c r="AA46" s="50">
        <f t="shared" si="47"/>
        <v>3854.3218000000002</v>
      </c>
      <c r="AB46" s="67">
        <f t="shared" si="48"/>
        <v>21556.388331000006</v>
      </c>
      <c r="AC46" s="67">
        <f t="shared" si="49"/>
        <v>23280.899397480003</v>
      </c>
      <c r="AD46" s="53">
        <f t="shared" si="50"/>
        <v>500</v>
      </c>
      <c r="AE46" s="53">
        <f t="shared" si="51"/>
        <v>166794.57539753441</v>
      </c>
      <c r="AF46" s="53">
        <f t="shared" si="52"/>
        <v>18.169343725221612</v>
      </c>
      <c r="AG46" s="67">
        <f t="shared" si="53"/>
        <v>18.589204487748844</v>
      </c>
    </row>
    <row r="47" spans="1:33" x14ac:dyDescent="0.2">
      <c r="A47" s="27" t="s">
        <v>184</v>
      </c>
      <c r="B47" s="23" t="s">
        <v>181</v>
      </c>
      <c r="C47" s="5" t="s">
        <v>7</v>
      </c>
      <c r="D47" s="9" t="s">
        <v>59</v>
      </c>
      <c r="E47" s="9" t="s">
        <v>61</v>
      </c>
      <c r="F47" s="8" t="s">
        <v>2</v>
      </c>
      <c r="G47" s="24">
        <v>2.35</v>
      </c>
      <c r="H47" s="25">
        <v>540</v>
      </c>
      <c r="I47" s="8">
        <v>17</v>
      </c>
      <c r="J47" s="35">
        <v>9180</v>
      </c>
      <c r="K47" s="54">
        <f t="shared" si="1"/>
        <v>21573</v>
      </c>
      <c r="L47" s="50">
        <f t="shared" si="2"/>
        <v>21913</v>
      </c>
      <c r="M47" s="26">
        <v>220</v>
      </c>
      <c r="N47" s="58">
        <v>220</v>
      </c>
      <c r="O47" s="26">
        <f t="shared" si="0"/>
        <v>0</v>
      </c>
      <c r="P47" s="58">
        <f t="shared" si="37"/>
        <v>75574.643760000006</v>
      </c>
      <c r="Q47" s="65">
        <f t="shared" si="38"/>
        <v>0.11477446808510637</v>
      </c>
      <c r="R47" s="52">
        <v>0.17</v>
      </c>
      <c r="S47" s="53">
        <f t="shared" si="39"/>
        <v>112572.25017300001</v>
      </c>
      <c r="T47" s="55">
        <f t="shared" si="40"/>
        <v>0</v>
      </c>
      <c r="U47" s="50">
        <f t="shared" si="41"/>
        <v>1609.0858000000001</v>
      </c>
      <c r="V47" s="50">
        <f t="shared" si="42"/>
        <v>37420.6</v>
      </c>
      <c r="W47" s="53">
        <f t="shared" si="43"/>
        <v>1871.03</v>
      </c>
      <c r="X47" s="53">
        <f t="shared" si="44"/>
        <v>9000</v>
      </c>
      <c r="Y47" s="55">
        <f t="shared" si="45"/>
        <v>0</v>
      </c>
      <c r="Z47" s="53">
        <f t="shared" si="46"/>
        <v>4864.6779999999999</v>
      </c>
      <c r="AA47" s="50">
        <f t="shared" si="47"/>
        <v>3854.3218000000002</v>
      </c>
      <c r="AB47" s="67">
        <f t="shared" si="48"/>
        <v>22514.450034600002</v>
      </c>
      <c r="AC47" s="67">
        <f t="shared" si="49"/>
        <v>24315.606037368001</v>
      </c>
      <c r="AD47" s="53">
        <f t="shared" si="50"/>
        <v>500</v>
      </c>
      <c r="AE47" s="53">
        <f t="shared" si="51"/>
        <v>183000.19644092707</v>
      </c>
      <c r="AF47" s="53">
        <f t="shared" si="52"/>
        <v>19.934661921669615</v>
      </c>
      <c r="AG47" s="67">
        <f t="shared" si="53"/>
        <v>20.354522684196848</v>
      </c>
    </row>
    <row r="48" spans="1:33" x14ac:dyDescent="0.2">
      <c r="A48" s="27" t="s">
        <v>185</v>
      </c>
      <c r="B48" s="23" t="s">
        <v>181</v>
      </c>
      <c r="C48" s="5" t="s">
        <v>8</v>
      </c>
      <c r="D48" s="9" t="s">
        <v>56</v>
      </c>
      <c r="E48" s="5" t="s">
        <v>62</v>
      </c>
      <c r="F48" s="23" t="s">
        <v>2</v>
      </c>
      <c r="G48" s="24">
        <v>2.25</v>
      </c>
      <c r="H48" s="25">
        <v>540</v>
      </c>
      <c r="I48" s="8">
        <v>17</v>
      </c>
      <c r="J48" s="35">
        <v>9180</v>
      </c>
      <c r="K48" s="54">
        <f t="shared" si="1"/>
        <v>20655</v>
      </c>
      <c r="L48" s="50">
        <f t="shared" si="2"/>
        <v>20995</v>
      </c>
      <c r="M48" s="26">
        <v>180</v>
      </c>
      <c r="N48" s="58">
        <v>180</v>
      </c>
      <c r="O48" s="26">
        <f t="shared" si="0"/>
        <v>0</v>
      </c>
      <c r="P48" s="58">
        <f t="shared" si="37"/>
        <v>61833.799439999995</v>
      </c>
      <c r="Q48" s="65">
        <f t="shared" si="38"/>
        <v>9.8080000000000001E-2</v>
      </c>
      <c r="R48" s="52">
        <v>0.17</v>
      </c>
      <c r="S48" s="53">
        <f t="shared" si="39"/>
        <v>107781.94165500002</v>
      </c>
      <c r="T48" s="55">
        <f t="shared" si="40"/>
        <v>0</v>
      </c>
      <c r="U48" s="50">
        <f t="shared" si="41"/>
        <v>1609.0858000000001</v>
      </c>
      <c r="V48" s="50">
        <f t="shared" si="42"/>
        <v>37420.6</v>
      </c>
      <c r="W48" s="53">
        <f t="shared" si="43"/>
        <v>1871.03</v>
      </c>
      <c r="X48" s="53">
        <f t="shared" si="44"/>
        <v>9000</v>
      </c>
      <c r="Y48" s="55">
        <f t="shared" si="45"/>
        <v>0</v>
      </c>
      <c r="Z48" s="53">
        <f t="shared" si="46"/>
        <v>4864.6779999999999</v>
      </c>
      <c r="AA48" s="50">
        <f t="shared" si="47"/>
        <v>3854.3218000000002</v>
      </c>
      <c r="AB48" s="67">
        <f t="shared" si="48"/>
        <v>21556.388331000006</v>
      </c>
      <c r="AC48" s="67">
        <f t="shared" si="49"/>
        <v>23280.899397480003</v>
      </c>
      <c r="AD48" s="53">
        <f t="shared" si="50"/>
        <v>500</v>
      </c>
      <c r="AE48" s="53">
        <f t="shared" si="51"/>
        <v>166794.57539753441</v>
      </c>
      <c r="AF48" s="53">
        <f t="shared" si="52"/>
        <v>18.169343725221612</v>
      </c>
      <c r="AG48" s="67">
        <f t="shared" si="53"/>
        <v>18.589204487748844</v>
      </c>
    </row>
    <row r="49" spans="1:33" x14ac:dyDescent="0.2">
      <c r="A49" s="27" t="s">
        <v>186</v>
      </c>
      <c r="B49" s="8" t="s">
        <v>181</v>
      </c>
      <c r="C49" s="5" t="s">
        <v>9</v>
      </c>
      <c r="D49" s="5" t="s">
        <v>59</v>
      </c>
      <c r="E49" s="5" t="s">
        <v>62</v>
      </c>
      <c r="F49" s="8" t="s">
        <v>2</v>
      </c>
      <c r="G49" s="24">
        <v>2.35</v>
      </c>
      <c r="H49" s="27">
        <v>540</v>
      </c>
      <c r="I49" s="8">
        <v>17</v>
      </c>
      <c r="J49" s="35">
        <v>9180</v>
      </c>
      <c r="K49" s="54">
        <f t="shared" si="1"/>
        <v>21573</v>
      </c>
      <c r="L49" s="50">
        <f t="shared" si="2"/>
        <v>21913</v>
      </c>
      <c r="M49" s="26">
        <v>220</v>
      </c>
      <c r="N49" s="58">
        <v>220</v>
      </c>
      <c r="O49" s="26">
        <f t="shared" si="0"/>
        <v>0</v>
      </c>
      <c r="P49" s="58">
        <f t="shared" si="37"/>
        <v>75574.643760000006</v>
      </c>
      <c r="Q49" s="65">
        <f t="shared" si="38"/>
        <v>0.11477446808510637</v>
      </c>
      <c r="R49" s="52">
        <v>0.17</v>
      </c>
      <c r="S49" s="53">
        <f t="shared" si="39"/>
        <v>112572.25017300001</v>
      </c>
      <c r="T49" s="55">
        <f t="shared" si="40"/>
        <v>0</v>
      </c>
      <c r="U49" s="50">
        <f t="shared" si="41"/>
        <v>1609.0858000000001</v>
      </c>
      <c r="V49" s="50">
        <f t="shared" si="42"/>
        <v>37420.6</v>
      </c>
      <c r="W49" s="53">
        <f t="shared" si="43"/>
        <v>1871.03</v>
      </c>
      <c r="X49" s="53">
        <f t="shared" si="44"/>
        <v>9000</v>
      </c>
      <c r="Y49" s="55">
        <f t="shared" si="45"/>
        <v>0</v>
      </c>
      <c r="Z49" s="53">
        <f t="shared" si="46"/>
        <v>4864.6779999999999</v>
      </c>
      <c r="AA49" s="50">
        <f t="shared" si="47"/>
        <v>3854.3218000000002</v>
      </c>
      <c r="AB49" s="67">
        <f t="shared" si="48"/>
        <v>22514.450034600002</v>
      </c>
      <c r="AC49" s="67">
        <f t="shared" si="49"/>
        <v>24315.606037368001</v>
      </c>
      <c r="AD49" s="53">
        <f t="shared" si="50"/>
        <v>500</v>
      </c>
      <c r="AE49" s="53">
        <f t="shared" si="51"/>
        <v>183000.19644092707</v>
      </c>
      <c r="AF49" s="53">
        <f t="shared" si="52"/>
        <v>19.934661921669615</v>
      </c>
      <c r="AG49" s="67">
        <f t="shared" si="53"/>
        <v>20.354522684196848</v>
      </c>
    </row>
    <row r="50" spans="1:33" x14ac:dyDescent="0.2">
      <c r="A50" s="27"/>
      <c r="B50" s="23"/>
      <c r="C50" s="5"/>
      <c r="D50" s="9"/>
      <c r="E50" s="9"/>
      <c r="F50" s="8"/>
      <c r="G50" s="24"/>
      <c r="H50" s="25"/>
      <c r="I50" s="30"/>
      <c r="J50" s="36"/>
      <c r="K50" s="54"/>
      <c r="L50" s="50"/>
      <c r="M50" s="29"/>
      <c r="N50" s="58"/>
      <c r="O50" s="26">
        <f t="shared" si="0"/>
        <v>0</v>
      </c>
      <c r="P50" s="58"/>
      <c r="Q50" s="65"/>
      <c r="R50" s="52"/>
      <c r="S50" s="53"/>
      <c r="T50" s="55"/>
      <c r="U50" s="50"/>
      <c r="V50" s="50"/>
      <c r="W50" s="53"/>
      <c r="X50" s="53"/>
      <c r="Y50" s="55"/>
      <c r="Z50" s="53"/>
      <c r="AA50" s="50"/>
      <c r="AB50" s="67"/>
      <c r="AC50" s="67"/>
      <c r="AD50" s="53"/>
      <c r="AE50" s="53"/>
      <c r="AF50" s="53"/>
      <c r="AG50" s="67"/>
    </row>
    <row r="51" spans="1:33" x14ac:dyDescent="0.2">
      <c r="A51" s="22" t="s">
        <v>106</v>
      </c>
      <c r="B51" s="23" t="s">
        <v>13</v>
      </c>
      <c r="C51" s="5" t="s">
        <v>1</v>
      </c>
      <c r="D51" s="5" t="s">
        <v>56</v>
      </c>
      <c r="E51" s="5" t="s">
        <v>57</v>
      </c>
      <c r="F51" s="23" t="s">
        <v>2</v>
      </c>
      <c r="G51" s="24">
        <v>2.25</v>
      </c>
      <c r="H51" s="25">
        <v>528</v>
      </c>
      <c r="I51" s="8">
        <v>18</v>
      </c>
      <c r="J51" s="35">
        <v>9504</v>
      </c>
      <c r="K51" s="54">
        <f t="shared" si="1"/>
        <v>21384</v>
      </c>
      <c r="L51" s="50">
        <f t="shared" si="2"/>
        <v>21744</v>
      </c>
      <c r="M51" s="26">
        <v>296</v>
      </c>
      <c r="N51" s="58">
        <v>296</v>
      </c>
      <c r="O51" s="26">
        <f t="shared" si="0"/>
        <v>0</v>
      </c>
      <c r="P51" s="58">
        <f>M51*J51*$T$2/1000</f>
        <v>105271.0331904</v>
      </c>
      <c r="Q51" s="65">
        <f>M51/1000/G51*$T$1</f>
        <v>0.16128711111111108</v>
      </c>
      <c r="R51" s="52">
        <v>0.17</v>
      </c>
      <c r="S51" s="53">
        <f>G51*J51*R51*$T$3</f>
        <v>111586.010184</v>
      </c>
      <c r="T51" s="55">
        <f>$T$9</f>
        <v>0</v>
      </c>
      <c r="U51" s="50">
        <f>$U$9*$T$2</f>
        <v>1609.0858000000001</v>
      </c>
      <c r="V51" s="50">
        <f>$V$9*$T$2</f>
        <v>37420.6</v>
      </c>
      <c r="W51" s="53">
        <f>$W$9*$T$2</f>
        <v>1871.03</v>
      </c>
      <c r="X51" s="53">
        <f>$X$9</f>
        <v>9000</v>
      </c>
      <c r="Y51" s="55">
        <f>$Y$9</f>
        <v>0</v>
      </c>
      <c r="Z51" s="53">
        <f>$Z$9*$T$2</f>
        <v>4864.6779999999999</v>
      </c>
      <c r="AA51" s="50">
        <f>$AA$9*$T$2*$AE$9</f>
        <v>3854.3218000000002</v>
      </c>
      <c r="AB51" s="67">
        <f>S51*$AB$9</f>
        <v>22317.202036800001</v>
      </c>
      <c r="AC51" s="67">
        <f>(S51+AB51)*$AC$9</f>
        <v>24102.578199743999</v>
      </c>
      <c r="AD51" s="53">
        <f>$AD$9</f>
        <v>500</v>
      </c>
      <c r="AE51" s="53">
        <f>(P51+T51+U51+V51+W51+X51+Y51+Z51+AB51+AC51+AD51)*$AE$9</f>
        <v>213164.89344375234</v>
      </c>
      <c r="AF51" s="53">
        <f>AE51/J51</f>
        <v>22.428966061000878</v>
      </c>
      <c r="AG51" s="67">
        <f>AA51/J51+AF51</f>
        <v>22.834513388441955</v>
      </c>
    </row>
    <row r="52" spans="1:33" x14ac:dyDescent="0.2">
      <c r="A52" s="22"/>
      <c r="B52" s="23"/>
      <c r="C52" s="5"/>
      <c r="D52" s="5"/>
      <c r="E52" s="5"/>
      <c r="F52" s="23"/>
      <c r="G52" s="24"/>
      <c r="H52" s="25"/>
      <c r="I52" s="30"/>
      <c r="J52" s="36"/>
      <c r="K52" s="54"/>
      <c r="L52" s="50"/>
      <c r="M52" s="29"/>
      <c r="N52" s="58"/>
      <c r="O52" s="26">
        <f t="shared" si="0"/>
        <v>0</v>
      </c>
      <c r="P52" s="58"/>
      <c r="Q52" s="65"/>
      <c r="R52" s="52"/>
      <c r="S52" s="53"/>
      <c r="T52" s="55"/>
      <c r="U52" s="50"/>
      <c r="V52" s="50"/>
      <c r="W52" s="53"/>
      <c r="X52" s="53"/>
      <c r="Y52" s="55"/>
      <c r="Z52" s="53"/>
      <c r="AA52" s="50"/>
      <c r="AB52" s="67"/>
      <c r="AC52" s="67"/>
      <c r="AD52" s="53"/>
      <c r="AE52" s="53"/>
      <c r="AF52" s="53"/>
      <c r="AG52" s="67"/>
    </row>
    <row r="53" spans="1:33" x14ac:dyDescent="0.2">
      <c r="A53" s="22" t="s">
        <v>107</v>
      </c>
      <c r="B53" s="23" t="s">
        <v>14</v>
      </c>
      <c r="C53" s="5" t="s">
        <v>1</v>
      </c>
      <c r="D53" s="5" t="s">
        <v>56</v>
      </c>
      <c r="E53" s="5" t="s">
        <v>57</v>
      </c>
      <c r="F53" s="23" t="s">
        <v>2</v>
      </c>
      <c r="G53" s="24">
        <v>2.85</v>
      </c>
      <c r="H53" s="25">
        <v>440</v>
      </c>
      <c r="I53" s="8">
        <v>17</v>
      </c>
      <c r="J53" s="35">
        <v>7480</v>
      </c>
      <c r="K53" s="54">
        <f t="shared" si="1"/>
        <v>21318</v>
      </c>
      <c r="L53" s="50">
        <f t="shared" si="2"/>
        <v>21658</v>
      </c>
      <c r="M53" s="26">
        <v>332</v>
      </c>
      <c r="N53" s="58">
        <v>332</v>
      </c>
      <c r="O53" s="26">
        <f t="shared" si="0"/>
        <v>0</v>
      </c>
      <c r="P53" s="58">
        <f>M53*J53*$T$2/1000</f>
        <v>92928.821216000011</v>
      </c>
      <c r="Q53" s="65">
        <f>M53/1000/G53*$T$1</f>
        <v>0.14281824561403508</v>
      </c>
      <c r="R53" s="52">
        <v>0.17</v>
      </c>
      <c r="S53" s="53">
        <f>G53*J53*R53*$T$3</f>
        <v>111241.60891800001</v>
      </c>
      <c r="T53" s="55">
        <f>$T$9</f>
        <v>0</v>
      </c>
      <c r="U53" s="50">
        <f>$U$9*$T$2</f>
        <v>1609.0858000000001</v>
      </c>
      <c r="V53" s="50">
        <f>$V$9*$T$2</f>
        <v>37420.6</v>
      </c>
      <c r="W53" s="53">
        <f>$W$9*$T$2</f>
        <v>1871.03</v>
      </c>
      <c r="X53" s="53">
        <f>$X$9</f>
        <v>9000</v>
      </c>
      <c r="Y53" s="55">
        <f>$Y$9</f>
        <v>0</v>
      </c>
      <c r="Z53" s="53">
        <f>$Z$9*$T$2</f>
        <v>4864.6779999999999</v>
      </c>
      <c r="AA53" s="50">
        <f>$AA$9*$T$2*$AE$9</f>
        <v>3854.3218000000002</v>
      </c>
      <c r="AB53" s="67">
        <f>S53*$AB$9</f>
        <v>22248.321783600004</v>
      </c>
      <c r="AC53" s="67">
        <f>(S53+AB53)*$AC$9</f>
        <v>24028.187526288002</v>
      </c>
      <c r="AD53" s="53">
        <f>$AD$9</f>
        <v>500</v>
      </c>
      <c r="AE53" s="53">
        <f>(P53+T53+U53+V53+W53+X53+Y53+Z53+AB53+AC53+AD53)*$AE$9</f>
        <v>200304.84605566468</v>
      </c>
      <c r="AF53" s="53">
        <f>AE53/J53</f>
        <v>26.778722734714528</v>
      </c>
      <c r="AG53" s="67">
        <f>AA53/J53+AF53</f>
        <v>27.294006397816133</v>
      </c>
    </row>
    <row r="54" spans="1:33" x14ac:dyDescent="0.2">
      <c r="A54" s="22" t="s">
        <v>108</v>
      </c>
      <c r="B54" s="23" t="s">
        <v>14</v>
      </c>
      <c r="C54" s="5" t="s">
        <v>6</v>
      </c>
      <c r="D54" s="5" t="s">
        <v>56</v>
      </c>
      <c r="E54" s="5" t="s">
        <v>61</v>
      </c>
      <c r="F54" s="23" t="s">
        <v>2</v>
      </c>
      <c r="G54" s="24">
        <v>2.85</v>
      </c>
      <c r="H54" s="25">
        <v>440</v>
      </c>
      <c r="I54" s="8">
        <v>17</v>
      </c>
      <c r="J54" s="35">
        <v>7480</v>
      </c>
      <c r="K54" s="54">
        <f t="shared" si="1"/>
        <v>21318</v>
      </c>
      <c r="L54" s="50">
        <f t="shared" si="2"/>
        <v>21658</v>
      </c>
      <c r="M54" s="26">
        <v>332</v>
      </c>
      <c r="N54" s="58">
        <v>332</v>
      </c>
      <c r="O54" s="26">
        <f t="shared" si="0"/>
        <v>0</v>
      </c>
      <c r="P54" s="58">
        <f>M54*J54*$T$2/1000</f>
        <v>92928.821216000011</v>
      </c>
      <c r="Q54" s="65">
        <f>M54/1000/G54*$T$1</f>
        <v>0.14281824561403508</v>
      </c>
      <c r="R54" s="52">
        <v>0.17</v>
      </c>
      <c r="S54" s="53">
        <f>G54*J54*R54*$T$3</f>
        <v>111241.60891800001</v>
      </c>
      <c r="T54" s="55">
        <f>$T$9</f>
        <v>0</v>
      </c>
      <c r="U54" s="50">
        <f>$U$9*$T$2</f>
        <v>1609.0858000000001</v>
      </c>
      <c r="V54" s="50">
        <f>$V$9*$T$2</f>
        <v>37420.6</v>
      </c>
      <c r="W54" s="53">
        <f>$W$9*$T$2</f>
        <v>1871.03</v>
      </c>
      <c r="X54" s="53">
        <f>$X$9</f>
        <v>9000</v>
      </c>
      <c r="Y54" s="55">
        <f>$Y$9</f>
        <v>0</v>
      </c>
      <c r="Z54" s="53">
        <f>$Z$9*$T$2</f>
        <v>4864.6779999999999</v>
      </c>
      <c r="AA54" s="50">
        <f>$AA$9*$T$2*$AE$9</f>
        <v>3854.3218000000002</v>
      </c>
      <c r="AB54" s="67">
        <f>S54*$AB$9</f>
        <v>22248.321783600004</v>
      </c>
      <c r="AC54" s="67">
        <f>(S54+AB54)*$AC$9</f>
        <v>24028.187526288002</v>
      </c>
      <c r="AD54" s="53">
        <f>$AD$9</f>
        <v>500</v>
      </c>
      <c r="AE54" s="53">
        <f>(P54+T54+U54+V54+W54+X54+Y54+Z54+AB54+AC54+AD54)*$AE$9</f>
        <v>200304.84605566468</v>
      </c>
      <c r="AF54" s="53">
        <f>AE54/J54</f>
        <v>26.778722734714528</v>
      </c>
      <c r="AG54" s="67">
        <f>AA54/J54+AF54</f>
        <v>27.294006397816133</v>
      </c>
    </row>
    <row r="55" spans="1:33" x14ac:dyDescent="0.2">
      <c r="A55" s="22"/>
      <c r="B55" s="23"/>
      <c r="C55" s="5"/>
      <c r="D55" s="5"/>
      <c r="E55" s="5"/>
      <c r="F55" s="23"/>
      <c r="G55" s="24"/>
      <c r="H55" s="25"/>
      <c r="I55" s="30"/>
      <c r="J55" s="36"/>
      <c r="K55" s="54"/>
      <c r="L55" s="50"/>
      <c r="M55" s="29"/>
      <c r="N55" s="58"/>
      <c r="O55" s="26">
        <f t="shared" si="0"/>
        <v>0</v>
      </c>
      <c r="P55" s="58"/>
      <c r="Q55" s="65"/>
      <c r="R55" s="52"/>
      <c r="S55" s="53"/>
      <c r="T55" s="55"/>
      <c r="U55" s="50"/>
      <c r="V55" s="50"/>
      <c r="W55" s="53"/>
      <c r="X55" s="53"/>
      <c r="Y55" s="55"/>
      <c r="Z55" s="53"/>
      <c r="AA55" s="50"/>
      <c r="AB55" s="67"/>
      <c r="AC55" s="67"/>
      <c r="AD55" s="53"/>
      <c r="AE55" s="53"/>
      <c r="AF55" s="53"/>
      <c r="AG55" s="67"/>
    </row>
    <row r="56" spans="1:33" x14ac:dyDescent="0.2">
      <c r="A56" s="194" t="s">
        <v>109</v>
      </c>
      <c r="B56" s="195" t="s">
        <v>4</v>
      </c>
      <c r="C56" s="196" t="s">
        <v>15</v>
      </c>
      <c r="D56" s="196" t="s">
        <v>56</v>
      </c>
      <c r="E56" s="196" t="s">
        <v>57</v>
      </c>
      <c r="F56" s="195" t="s">
        <v>16</v>
      </c>
      <c r="G56" s="197">
        <v>2.95</v>
      </c>
      <c r="H56" s="198">
        <v>420</v>
      </c>
      <c r="I56" s="199">
        <v>17</v>
      </c>
      <c r="J56" s="200">
        <v>7140</v>
      </c>
      <c r="K56" s="201">
        <f t="shared" si="1"/>
        <v>21063</v>
      </c>
      <c r="L56" s="202">
        <f t="shared" si="2"/>
        <v>21403</v>
      </c>
      <c r="M56" s="203">
        <v>393</v>
      </c>
      <c r="N56" s="58">
        <v>393</v>
      </c>
      <c r="O56" s="26">
        <f t="shared" si="0"/>
        <v>0</v>
      </c>
      <c r="P56" s="204">
        <f t="shared" ref="P56:P67" si="54">M56*J56*$T$2/1000</f>
        <v>105002.95201199999</v>
      </c>
      <c r="Q56" s="205">
        <f t="shared" ref="Q56:Q67" si="55">M56/1000/G56*$T$1</f>
        <v>0.16332813559322035</v>
      </c>
      <c r="R56" s="206">
        <v>0.17</v>
      </c>
      <c r="S56" s="207">
        <f>G56*J56*Q56*$T$3</f>
        <v>105597.37311555601</v>
      </c>
      <c r="T56" s="208">
        <f t="shared" ref="T56:T67" si="56">$T$9</f>
        <v>0</v>
      </c>
      <c r="U56" s="202">
        <f t="shared" ref="U56:U67" si="57">$U$9*$T$2</f>
        <v>1609.0858000000001</v>
      </c>
      <c r="V56" s="202">
        <f t="shared" ref="V56:V67" si="58">$V$9*$T$2</f>
        <v>37420.6</v>
      </c>
      <c r="W56" s="207">
        <f t="shared" ref="W56:W67" si="59">$W$9*$T$2</f>
        <v>1871.03</v>
      </c>
      <c r="X56" s="207">
        <f t="shared" ref="X56:X67" si="60">$X$9</f>
        <v>9000</v>
      </c>
      <c r="Y56" s="208">
        <f t="shared" ref="Y56:Y67" si="61">$Y$9</f>
        <v>0</v>
      </c>
      <c r="Z56" s="207">
        <f t="shared" ref="Z56:Z67" si="62">$Z$9*$T$2</f>
        <v>4864.6779999999999</v>
      </c>
      <c r="AA56" s="202">
        <f t="shared" ref="AA56:AA67" si="63">$AA$9*$T$2*$AE$9</f>
        <v>3854.3218000000002</v>
      </c>
      <c r="AB56" s="209">
        <f t="shared" ref="AB56:AB67" si="64">S56*$AB$9</f>
        <v>21119.474623111204</v>
      </c>
      <c r="AC56" s="209">
        <f t="shared" ref="AC56:AC67" si="65">(S56+AB56)*$AC$9</f>
        <v>22809.032592960099</v>
      </c>
      <c r="AD56" s="207">
        <f t="shared" ref="AD56:AD67" si="66">$AD$9</f>
        <v>500</v>
      </c>
      <c r="AE56" s="207">
        <f t="shared" ref="AE56:AE67" si="67">(P56+T56+U56+V56+W56+X56+Y56+Z56+AB56+AC56+AD56)*$AE$9</f>
        <v>210322.75861891345</v>
      </c>
      <c r="AF56" s="207">
        <f t="shared" ref="AF56:AF67" si="68">AE56/J56</f>
        <v>29.456968994245582</v>
      </c>
      <c r="AG56" s="209">
        <f t="shared" ref="AG56:AG67" si="69">AA56/J56+AF56</f>
        <v>29.996789974637739</v>
      </c>
    </row>
    <row r="57" spans="1:33" x14ac:dyDescent="0.2">
      <c r="A57" s="194" t="s">
        <v>110</v>
      </c>
      <c r="B57" s="195" t="s">
        <v>4</v>
      </c>
      <c r="C57" s="196" t="s">
        <v>17</v>
      </c>
      <c r="D57" s="196" t="s">
        <v>56</v>
      </c>
      <c r="E57" s="196" t="s">
        <v>57</v>
      </c>
      <c r="F57" s="195" t="s">
        <v>16</v>
      </c>
      <c r="G57" s="197">
        <v>2.9</v>
      </c>
      <c r="H57" s="198">
        <v>420</v>
      </c>
      <c r="I57" s="199">
        <v>17</v>
      </c>
      <c r="J57" s="200">
        <v>7140</v>
      </c>
      <c r="K57" s="201">
        <f t="shared" si="1"/>
        <v>20706</v>
      </c>
      <c r="L57" s="202">
        <f t="shared" si="2"/>
        <v>21046</v>
      </c>
      <c r="M57" s="203">
        <v>393</v>
      </c>
      <c r="N57" s="58">
        <v>393</v>
      </c>
      <c r="O57" s="26">
        <f t="shared" si="0"/>
        <v>0</v>
      </c>
      <c r="P57" s="204">
        <f t="shared" si="54"/>
        <v>105002.95201199999</v>
      </c>
      <c r="Q57" s="205">
        <f t="shared" si="55"/>
        <v>0.16614413793103447</v>
      </c>
      <c r="R57" s="206">
        <v>0.17</v>
      </c>
      <c r="S57" s="207">
        <f>G57*J57*Q57*$T$3</f>
        <v>105597.37311555599</v>
      </c>
      <c r="T57" s="208">
        <f t="shared" si="56"/>
        <v>0</v>
      </c>
      <c r="U57" s="202">
        <f t="shared" si="57"/>
        <v>1609.0858000000001</v>
      </c>
      <c r="V57" s="202">
        <f t="shared" si="58"/>
        <v>37420.6</v>
      </c>
      <c r="W57" s="207">
        <f t="shared" si="59"/>
        <v>1871.03</v>
      </c>
      <c r="X57" s="207">
        <f t="shared" si="60"/>
        <v>9000</v>
      </c>
      <c r="Y57" s="208">
        <f t="shared" si="61"/>
        <v>0</v>
      </c>
      <c r="Z57" s="207">
        <f t="shared" si="62"/>
        <v>4864.6779999999999</v>
      </c>
      <c r="AA57" s="202">
        <f t="shared" si="63"/>
        <v>3854.3218000000002</v>
      </c>
      <c r="AB57" s="209">
        <f t="shared" si="64"/>
        <v>21119.4746231112</v>
      </c>
      <c r="AC57" s="209">
        <f t="shared" si="65"/>
        <v>22809.032592960091</v>
      </c>
      <c r="AD57" s="207">
        <f t="shared" si="66"/>
        <v>500</v>
      </c>
      <c r="AE57" s="207">
        <f t="shared" si="67"/>
        <v>210322.75861891339</v>
      </c>
      <c r="AF57" s="207">
        <f t="shared" si="68"/>
        <v>29.456968994245571</v>
      </c>
      <c r="AG57" s="209">
        <f t="shared" si="69"/>
        <v>29.996789974637728</v>
      </c>
    </row>
    <row r="58" spans="1:33" x14ac:dyDescent="0.2">
      <c r="A58" s="194" t="s">
        <v>111</v>
      </c>
      <c r="B58" s="195" t="s">
        <v>4</v>
      </c>
      <c r="C58" s="196" t="s">
        <v>18</v>
      </c>
      <c r="D58" s="196" t="s">
        <v>56</v>
      </c>
      <c r="E58" s="196" t="s">
        <v>57</v>
      </c>
      <c r="F58" s="195" t="s">
        <v>16</v>
      </c>
      <c r="G58" s="197">
        <v>2.9</v>
      </c>
      <c r="H58" s="198">
        <v>420</v>
      </c>
      <c r="I58" s="199">
        <v>17</v>
      </c>
      <c r="J58" s="200">
        <v>7140</v>
      </c>
      <c r="K58" s="201">
        <f t="shared" si="1"/>
        <v>20706</v>
      </c>
      <c r="L58" s="202">
        <f t="shared" si="2"/>
        <v>21046</v>
      </c>
      <c r="M58" s="203">
        <v>393</v>
      </c>
      <c r="N58" s="58">
        <v>393</v>
      </c>
      <c r="O58" s="26">
        <f t="shared" si="0"/>
        <v>0</v>
      </c>
      <c r="P58" s="204">
        <f t="shared" si="54"/>
        <v>105002.95201199999</v>
      </c>
      <c r="Q58" s="205">
        <f t="shared" si="55"/>
        <v>0.16614413793103447</v>
      </c>
      <c r="R58" s="206">
        <v>0.17</v>
      </c>
      <c r="S58" s="207">
        <f>G58*J58*Q58*$T$3</f>
        <v>105597.37311555599</v>
      </c>
      <c r="T58" s="208">
        <f t="shared" si="56"/>
        <v>0</v>
      </c>
      <c r="U58" s="202">
        <f t="shared" si="57"/>
        <v>1609.0858000000001</v>
      </c>
      <c r="V58" s="202">
        <f t="shared" si="58"/>
        <v>37420.6</v>
      </c>
      <c r="W58" s="207">
        <f t="shared" si="59"/>
        <v>1871.03</v>
      </c>
      <c r="X58" s="207">
        <f t="shared" si="60"/>
        <v>9000</v>
      </c>
      <c r="Y58" s="208">
        <f t="shared" si="61"/>
        <v>0</v>
      </c>
      <c r="Z58" s="207">
        <f t="shared" si="62"/>
        <v>4864.6779999999999</v>
      </c>
      <c r="AA58" s="202">
        <f t="shared" si="63"/>
        <v>3854.3218000000002</v>
      </c>
      <c r="AB58" s="209">
        <f t="shared" si="64"/>
        <v>21119.4746231112</v>
      </c>
      <c r="AC58" s="209">
        <f t="shared" si="65"/>
        <v>22809.032592960091</v>
      </c>
      <c r="AD58" s="207">
        <f t="shared" si="66"/>
        <v>500</v>
      </c>
      <c r="AE58" s="207">
        <f t="shared" si="67"/>
        <v>210322.75861891339</v>
      </c>
      <c r="AF58" s="207">
        <f t="shared" si="68"/>
        <v>29.456968994245571</v>
      </c>
      <c r="AG58" s="209">
        <f t="shared" si="69"/>
        <v>29.996789974637728</v>
      </c>
    </row>
    <row r="59" spans="1:33" x14ac:dyDescent="0.2">
      <c r="A59" s="194" t="s">
        <v>112</v>
      </c>
      <c r="B59" s="195" t="s">
        <v>4</v>
      </c>
      <c r="C59" s="196" t="s">
        <v>19</v>
      </c>
      <c r="D59" s="196" t="s">
        <v>56</v>
      </c>
      <c r="E59" s="196" t="s">
        <v>57</v>
      </c>
      <c r="F59" s="195" t="s">
        <v>16</v>
      </c>
      <c r="G59" s="197">
        <v>2.9</v>
      </c>
      <c r="H59" s="198">
        <v>420</v>
      </c>
      <c r="I59" s="199">
        <v>17</v>
      </c>
      <c r="J59" s="200">
        <v>7140</v>
      </c>
      <c r="K59" s="201">
        <f t="shared" si="1"/>
        <v>20706</v>
      </c>
      <c r="L59" s="202">
        <f t="shared" si="2"/>
        <v>21046</v>
      </c>
      <c r="M59" s="203">
        <v>393</v>
      </c>
      <c r="N59" s="58">
        <v>393</v>
      </c>
      <c r="O59" s="26">
        <f t="shared" si="0"/>
        <v>0</v>
      </c>
      <c r="P59" s="204">
        <f t="shared" si="54"/>
        <v>105002.95201199999</v>
      </c>
      <c r="Q59" s="205">
        <f t="shared" si="55"/>
        <v>0.16614413793103447</v>
      </c>
      <c r="R59" s="206">
        <v>0.17</v>
      </c>
      <c r="S59" s="207">
        <f>G59*J59*Q59*$T$3</f>
        <v>105597.37311555599</v>
      </c>
      <c r="T59" s="208">
        <f t="shared" si="56"/>
        <v>0</v>
      </c>
      <c r="U59" s="202">
        <f t="shared" si="57"/>
        <v>1609.0858000000001</v>
      </c>
      <c r="V59" s="202">
        <f t="shared" si="58"/>
        <v>37420.6</v>
      </c>
      <c r="W59" s="207">
        <f t="shared" si="59"/>
        <v>1871.03</v>
      </c>
      <c r="X59" s="207">
        <f t="shared" si="60"/>
        <v>9000</v>
      </c>
      <c r="Y59" s="208">
        <f t="shared" si="61"/>
        <v>0</v>
      </c>
      <c r="Z59" s="207">
        <f t="shared" si="62"/>
        <v>4864.6779999999999</v>
      </c>
      <c r="AA59" s="202">
        <f t="shared" si="63"/>
        <v>3854.3218000000002</v>
      </c>
      <c r="AB59" s="209">
        <f t="shared" si="64"/>
        <v>21119.4746231112</v>
      </c>
      <c r="AC59" s="209">
        <f t="shared" si="65"/>
        <v>22809.032592960091</v>
      </c>
      <c r="AD59" s="207">
        <f t="shared" si="66"/>
        <v>500</v>
      </c>
      <c r="AE59" s="207">
        <f t="shared" si="67"/>
        <v>210322.75861891339</v>
      </c>
      <c r="AF59" s="207">
        <f t="shared" si="68"/>
        <v>29.456968994245571</v>
      </c>
      <c r="AG59" s="209">
        <f t="shared" si="69"/>
        <v>29.996789974637728</v>
      </c>
    </row>
    <row r="60" spans="1:33" x14ac:dyDescent="0.2">
      <c r="A60" s="194" t="s">
        <v>113</v>
      </c>
      <c r="B60" s="195" t="s">
        <v>4</v>
      </c>
      <c r="C60" s="196" t="s">
        <v>20</v>
      </c>
      <c r="D60" s="196" t="s">
        <v>56</v>
      </c>
      <c r="E60" s="196" t="s">
        <v>57</v>
      </c>
      <c r="F60" s="195" t="s">
        <v>16</v>
      </c>
      <c r="G60" s="197">
        <v>2.9</v>
      </c>
      <c r="H60" s="198">
        <v>420</v>
      </c>
      <c r="I60" s="199">
        <v>17</v>
      </c>
      <c r="J60" s="200">
        <v>7140</v>
      </c>
      <c r="K60" s="201">
        <f t="shared" si="1"/>
        <v>20706</v>
      </c>
      <c r="L60" s="202">
        <f t="shared" si="2"/>
        <v>21046</v>
      </c>
      <c r="M60" s="203">
        <v>393</v>
      </c>
      <c r="N60" s="58">
        <v>393</v>
      </c>
      <c r="O60" s="26">
        <f t="shared" si="0"/>
        <v>0</v>
      </c>
      <c r="P60" s="204">
        <f t="shared" si="54"/>
        <v>105002.95201199999</v>
      </c>
      <c r="Q60" s="205">
        <f t="shared" si="55"/>
        <v>0.16614413793103447</v>
      </c>
      <c r="R60" s="206">
        <v>0.17</v>
      </c>
      <c r="S60" s="207">
        <f>G60*J60*Q60*$T$3</f>
        <v>105597.37311555599</v>
      </c>
      <c r="T60" s="208">
        <f t="shared" si="56"/>
        <v>0</v>
      </c>
      <c r="U60" s="202">
        <f t="shared" si="57"/>
        <v>1609.0858000000001</v>
      </c>
      <c r="V60" s="202">
        <f t="shared" si="58"/>
        <v>37420.6</v>
      </c>
      <c r="W60" s="207">
        <f t="shared" si="59"/>
        <v>1871.03</v>
      </c>
      <c r="X60" s="207">
        <f t="shared" si="60"/>
        <v>9000</v>
      </c>
      <c r="Y60" s="208">
        <f t="shared" si="61"/>
        <v>0</v>
      </c>
      <c r="Z60" s="207">
        <f t="shared" si="62"/>
        <v>4864.6779999999999</v>
      </c>
      <c r="AA60" s="202">
        <f t="shared" si="63"/>
        <v>3854.3218000000002</v>
      </c>
      <c r="AB60" s="209">
        <f t="shared" si="64"/>
        <v>21119.4746231112</v>
      </c>
      <c r="AC60" s="209">
        <f t="shared" si="65"/>
        <v>22809.032592960091</v>
      </c>
      <c r="AD60" s="207">
        <f t="shared" si="66"/>
        <v>500</v>
      </c>
      <c r="AE60" s="207">
        <f t="shared" si="67"/>
        <v>210322.75861891339</v>
      </c>
      <c r="AF60" s="207">
        <f t="shared" si="68"/>
        <v>29.456968994245571</v>
      </c>
      <c r="AG60" s="209">
        <f t="shared" si="69"/>
        <v>29.996789974637728</v>
      </c>
    </row>
    <row r="61" spans="1:33" x14ac:dyDescent="0.2">
      <c r="A61" s="22" t="s">
        <v>114</v>
      </c>
      <c r="B61" s="23" t="s">
        <v>4</v>
      </c>
      <c r="C61" s="5" t="s">
        <v>21</v>
      </c>
      <c r="D61" s="5" t="s">
        <v>56</v>
      </c>
      <c r="E61" s="5" t="s">
        <v>57</v>
      </c>
      <c r="F61" s="23" t="s">
        <v>16</v>
      </c>
      <c r="G61" s="24">
        <v>3.05</v>
      </c>
      <c r="H61" s="25">
        <v>420</v>
      </c>
      <c r="I61" s="8">
        <v>16</v>
      </c>
      <c r="J61" s="35">
        <v>6720</v>
      </c>
      <c r="K61" s="54">
        <f t="shared" si="1"/>
        <v>20496</v>
      </c>
      <c r="L61" s="50">
        <f t="shared" si="2"/>
        <v>20816</v>
      </c>
      <c r="M61" s="26">
        <v>393</v>
      </c>
      <c r="N61" s="58">
        <v>393</v>
      </c>
      <c r="O61" s="26">
        <f t="shared" si="0"/>
        <v>0</v>
      </c>
      <c r="P61" s="58">
        <f t="shared" si="54"/>
        <v>98826.307776000001</v>
      </c>
      <c r="Q61" s="65">
        <f t="shared" si="55"/>
        <v>0.15797311475409836</v>
      </c>
      <c r="R61" s="52">
        <v>0.17</v>
      </c>
      <c r="S61" s="53">
        <f>G61*J61*R61*$T$3</f>
        <v>106952.24769600001</v>
      </c>
      <c r="T61" s="55">
        <f t="shared" si="56"/>
        <v>0</v>
      </c>
      <c r="U61" s="50">
        <f t="shared" si="57"/>
        <v>1609.0858000000001</v>
      </c>
      <c r="V61" s="50">
        <f t="shared" si="58"/>
        <v>37420.6</v>
      </c>
      <c r="W61" s="53">
        <f t="shared" si="59"/>
        <v>1871.03</v>
      </c>
      <c r="X61" s="53">
        <f t="shared" si="60"/>
        <v>9000</v>
      </c>
      <c r="Y61" s="55">
        <f t="shared" si="61"/>
        <v>0</v>
      </c>
      <c r="Z61" s="53">
        <f t="shared" si="62"/>
        <v>4864.6779999999999</v>
      </c>
      <c r="AA61" s="50">
        <f t="shared" si="63"/>
        <v>3854.3218000000002</v>
      </c>
      <c r="AB61" s="67">
        <f t="shared" si="64"/>
        <v>21390.449539200003</v>
      </c>
      <c r="AC61" s="67">
        <f t="shared" si="65"/>
        <v>23101.685502336</v>
      </c>
      <c r="AD61" s="53">
        <f t="shared" si="66"/>
        <v>500</v>
      </c>
      <c r="AE61" s="53">
        <f t="shared" si="67"/>
        <v>204541.35171606211</v>
      </c>
      <c r="AF61" s="53">
        <f t="shared" si="68"/>
        <v>30.437701148223528</v>
      </c>
      <c r="AG61" s="67">
        <f t="shared" si="69"/>
        <v>31.011260939890196</v>
      </c>
    </row>
    <row r="62" spans="1:33" x14ac:dyDescent="0.2">
      <c r="A62" s="194" t="s">
        <v>115</v>
      </c>
      <c r="B62" s="195" t="s">
        <v>4</v>
      </c>
      <c r="C62" s="196" t="s">
        <v>22</v>
      </c>
      <c r="D62" s="196" t="s">
        <v>56</v>
      </c>
      <c r="E62" s="196" t="s">
        <v>57</v>
      </c>
      <c r="F62" s="195" t="s">
        <v>16</v>
      </c>
      <c r="G62" s="197">
        <v>2.65</v>
      </c>
      <c r="H62" s="198">
        <v>416</v>
      </c>
      <c r="I62" s="199">
        <v>19</v>
      </c>
      <c r="J62" s="200">
        <v>7904</v>
      </c>
      <c r="K62" s="201">
        <f t="shared" si="1"/>
        <v>20945.599999999999</v>
      </c>
      <c r="L62" s="202">
        <f t="shared" si="2"/>
        <v>21325.599999999999</v>
      </c>
      <c r="M62" s="203">
        <v>393</v>
      </c>
      <c r="N62" s="58">
        <v>393</v>
      </c>
      <c r="O62" s="26">
        <f t="shared" si="0"/>
        <v>0</v>
      </c>
      <c r="P62" s="204">
        <f t="shared" si="54"/>
        <v>116238.5620032</v>
      </c>
      <c r="Q62" s="205">
        <f t="shared" si="55"/>
        <v>0.18181811320754718</v>
      </c>
      <c r="R62" s="206">
        <v>0.17</v>
      </c>
      <c r="S62" s="207">
        <f>G62*J62*Q62*$T$3</f>
        <v>116896.5878298816</v>
      </c>
      <c r="T62" s="208">
        <f t="shared" si="56"/>
        <v>0</v>
      </c>
      <c r="U62" s="202">
        <f t="shared" si="57"/>
        <v>1609.0858000000001</v>
      </c>
      <c r="V62" s="202">
        <f t="shared" si="58"/>
        <v>37420.6</v>
      </c>
      <c r="W62" s="207">
        <f t="shared" si="59"/>
        <v>1871.03</v>
      </c>
      <c r="X62" s="207">
        <f t="shared" si="60"/>
        <v>9000</v>
      </c>
      <c r="Y62" s="208">
        <f t="shared" si="61"/>
        <v>0</v>
      </c>
      <c r="Z62" s="207">
        <f t="shared" si="62"/>
        <v>4864.6779999999999</v>
      </c>
      <c r="AA62" s="202">
        <f t="shared" si="63"/>
        <v>3854.3218000000002</v>
      </c>
      <c r="AB62" s="209">
        <f t="shared" si="64"/>
        <v>23379.317565976322</v>
      </c>
      <c r="AC62" s="209">
        <f t="shared" si="65"/>
        <v>25249.662971254427</v>
      </c>
      <c r="AD62" s="207">
        <f t="shared" si="66"/>
        <v>500</v>
      </c>
      <c r="AE62" s="207">
        <f t="shared" si="67"/>
        <v>226736.9244306437</v>
      </c>
      <c r="AF62" s="207">
        <f t="shared" si="68"/>
        <v>28.686351775132046</v>
      </c>
      <c r="AG62" s="209">
        <f t="shared" si="69"/>
        <v>29.173993703269698</v>
      </c>
    </row>
    <row r="63" spans="1:33" x14ac:dyDescent="0.2">
      <c r="A63" s="194" t="s">
        <v>116</v>
      </c>
      <c r="B63" s="195" t="s">
        <v>4</v>
      </c>
      <c r="C63" s="196" t="s">
        <v>23</v>
      </c>
      <c r="D63" s="196" t="s">
        <v>56</v>
      </c>
      <c r="E63" s="196" t="s">
        <v>57</v>
      </c>
      <c r="F63" s="195" t="s">
        <v>16</v>
      </c>
      <c r="G63" s="197">
        <v>2.65</v>
      </c>
      <c r="H63" s="198">
        <v>416</v>
      </c>
      <c r="I63" s="199">
        <v>19</v>
      </c>
      <c r="J63" s="200">
        <v>7904</v>
      </c>
      <c r="K63" s="201">
        <f t="shared" si="1"/>
        <v>20945.599999999999</v>
      </c>
      <c r="L63" s="202">
        <f t="shared" si="2"/>
        <v>21325.599999999999</v>
      </c>
      <c r="M63" s="203">
        <v>393</v>
      </c>
      <c r="N63" s="58">
        <v>393</v>
      </c>
      <c r="O63" s="26">
        <f t="shared" si="0"/>
        <v>0</v>
      </c>
      <c r="P63" s="204">
        <f t="shared" si="54"/>
        <v>116238.5620032</v>
      </c>
      <c r="Q63" s="205">
        <f t="shared" si="55"/>
        <v>0.18181811320754718</v>
      </c>
      <c r="R63" s="206">
        <v>0.17</v>
      </c>
      <c r="S63" s="207">
        <f>G63*J63*Q63*$T$3</f>
        <v>116896.5878298816</v>
      </c>
      <c r="T63" s="208">
        <f t="shared" si="56"/>
        <v>0</v>
      </c>
      <c r="U63" s="202">
        <f t="shared" si="57"/>
        <v>1609.0858000000001</v>
      </c>
      <c r="V63" s="202">
        <f t="shared" si="58"/>
        <v>37420.6</v>
      </c>
      <c r="W63" s="207">
        <f t="shared" si="59"/>
        <v>1871.03</v>
      </c>
      <c r="X63" s="207">
        <f t="shared" si="60"/>
        <v>9000</v>
      </c>
      <c r="Y63" s="208">
        <f t="shared" si="61"/>
        <v>0</v>
      </c>
      <c r="Z63" s="207">
        <f t="shared" si="62"/>
        <v>4864.6779999999999</v>
      </c>
      <c r="AA63" s="202">
        <f t="shared" si="63"/>
        <v>3854.3218000000002</v>
      </c>
      <c r="AB63" s="209">
        <f t="shared" si="64"/>
        <v>23379.317565976322</v>
      </c>
      <c r="AC63" s="209">
        <f t="shared" si="65"/>
        <v>25249.662971254427</v>
      </c>
      <c r="AD63" s="207">
        <f t="shared" si="66"/>
        <v>500</v>
      </c>
      <c r="AE63" s="207">
        <f t="shared" si="67"/>
        <v>226736.9244306437</v>
      </c>
      <c r="AF63" s="207">
        <f t="shared" si="68"/>
        <v>28.686351775132046</v>
      </c>
      <c r="AG63" s="209">
        <f t="shared" si="69"/>
        <v>29.173993703269698</v>
      </c>
    </row>
    <row r="64" spans="1:33" x14ac:dyDescent="0.2">
      <c r="A64" s="22" t="s">
        <v>117</v>
      </c>
      <c r="B64" s="23" t="s">
        <v>4</v>
      </c>
      <c r="C64" s="5" t="s">
        <v>24</v>
      </c>
      <c r="D64" s="5" t="s">
        <v>56</v>
      </c>
      <c r="E64" s="5" t="s">
        <v>57</v>
      </c>
      <c r="F64" s="23" t="s">
        <v>16</v>
      </c>
      <c r="G64" s="24">
        <v>3</v>
      </c>
      <c r="H64" s="25">
        <v>420</v>
      </c>
      <c r="I64" s="8">
        <v>17</v>
      </c>
      <c r="J64" s="35">
        <v>7140</v>
      </c>
      <c r="K64" s="54">
        <f t="shared" si="1"/>
        <v>21420</v>
      </c>
      <c r="L64" s="50">
        <f t="shared" si="2"/>
        <v>21760</v>
      </c>
      <c r="M64" s="26">
        <v>393</v>
      </c>
      <c r="N64" s="58">
        <v>393</v>
      </c>
      <c r="O64" s="26">
        <f t="shared" si="0"/>
        <v>0</v>
      </c>
      <c r="P64" s="58">
        <f t="shared" si="54"/>
        <v>105002.95201199999</v>
      </c>
      <c r="Q64" s="65">
        <f t="shared" si="55"/>
        <v>0.160606</v>
      </c>
      <c r="R64" s="52">
        <v>0.17</v>
      </c>
      <c r="S64" s="53">
        <f>G64*J64*R64*$T$3</f>
        <v>111773.86542</v>
      </c>
      <c r="T64" s="55">
        <f t="shared" si="56"/>
        <v>0</v>
      </c>
      <c r="U64" s="50">
        <f t="shared" si="57"/>
        <v>1609.0858000000001</v>
      </c>
      <c r="V64" s="50">
        <f t="shared" si="58"/>
        <v>37420.6</v>
      </c>
      <c r="W64" s="53">
        <f t="shared" si="59"/>
        <v>1871.03</v>
      </c>
      <c r="X64" s="53">
        <f t="shared" si="60"/>
        <v>9000</v>
      </c>
      <c r="Y64" s="55">
        <f t="shared" si="61"/>
        <v>0</v>
      </c>
      <c r="Z64" s="53">
        <f t="shared" si="62"/>
        <v>4864.6779999999999</v>
      </c>
      <c r="AA64" s="50">
        <f t="shared" si="63"/>
        <v>3854.3218000000002</v>
      </c>
      <c r="AB64" s="67">
        <f t="shared" si="64"/>
        <v>22354.773084</v>
      </c>
      <c r="AC64" s="67">
        <f t="shared" si="65"/>
        <v>24143.15493072</v>
      </c>
      <c r="AD64" s="53">
        <f t="shared" si="66"/>
        <v>500</v>
      </c>
      <c r="AE64" s="53">
        <f t="shared" si="67"/>
        <v>212969.26204152158</v>
      </c>
      <c r="AF64" s="53">
        <f t="shared" si="68"/>
        <v>29.827627736907782</v>
      </c>
      <c r="AG64" s="67">
        <f t="shared" si="69"/>
        <v>30.36744871729994</v>
      </c>
    </row>
    <row r="65" spans="1:33" x14ac:dyDescent="0.2">
      <c r="A65" s="194" t="s">
        <v>118</v>
      </c>
      <c r="B65" s="195" t="s">
        <v>4</v>
      </c>
      <c r="C65" s="196" t="s">
        <v>25</v>
      </c>
      <c r="D65" s="196" t="s">
        <v>56</v>
      </c>
      <c r="E65" s="196" t="s">
        <v>57</v>
      </c>
      <c r="F65" s="195" t="s">
        <v>16</v>
      </c>
      <c r="G65" s="197">
        <v>2.95</v>
      </c>
      <c r="H65" s="198">
        <v>420</v>
      </c>
      <c r="I65" s="199">
        <v>17</v>
      </c>
      <c r="J65" s="200">
        <v>7140</v>
      </c>
      <c r="K65" s="201">
        <f t="shared" si="1"/>
        <v>21063</v>
      </c>
      <c r="L65" s="202">
        <f t="shared" si="2"/>
        <v>21403</v>
      </c>
      <c r="M65" s="203">
        <v>393</v>
      </c>
      <c r="N65" s="58">
        <v>393</v>
      </c>
      <c r="O65" s="26">
        <f t="shared" si="0"/>
        <v>0</v>
      </c>
      <c r="P65" s="204">
        <f t="shared" si="54"/>
        <v>105002.95201199999</v>
      </c>
      <c r="Q65" s="205">
        <f t="shared" si="55"/>
        <v>0.16332813559322035</v>
      </c>
      <c r="R65" s="206">
        <v>0.17</v>
      </c>
      <c r="S65" s="207">
        <f>G65*J65*Q65*$T$3</f>
        <v>105597.37311555601</v>
      </c>
      <c r="T65" s="208">
        <f t="shared" si="56"/>
        <v>0</v>
      </c>
      <c r="U65" s="202">
        <f t="shared" si="57"/>
        <v>1609.0858000000001</v>
      </c>
      <c r="V65" s="202">
        <f t="shared" si="58"/>
        <v>37420.6</v>
      </c>
      <c r="W65" s="207">
        <f t="shared" si="59"/>
        <v>1871.03</v>
      </c>
      <c r="X65" s="207">
        <f t="shared" si="60"/>
        <v>9000</v>
      </c>
      <c r="Y65" s="208">
        <f t="shared" si="61"/>
        <v>0</v>
      </c>
      <c r="Z65" s="207">
        <f t="shared" si="62"/>
        <v>4864.6779999999999</v>
      </c>
      <c r="AA65" s="202">
        <f t="shared" si="63"/>
        <v>3854.3218000000002</v>
      </c>
      <c r="AB65" s="209">
        <f t="shared" si="64"/>
        <v>21119.474623111204</v>
      </c>
      <c r="AC65" s="209">
        <f t="shared" si="65"/>
        <v>22809.032592960099</v>
      </c>
      <c r="AD65" s="207">
        <f t="shared" si="66"/>
        <v>500</v>
      </c>
      <c r="AE65" s="207">
        <f t="shared" si="67"/>
        <v>210322.75861891345</v>
      </c>
      <c r="AF65" s="207">
        <f t="shared" si="68"/>
        <v>29.456968994245582</v>
      </c>
      <c r="AG65" s="209">
        <f t="shared" si="69"/>
        <v>29.996789974637739</v>
      </c>
    </row>
    <row r="66" spans="1:33" x14ac:dyDescent="0.2">
      <c r="A66" s="194" t="s">
        <v>119</v>
      </c>
      <c r="B66" s="195" t="s">
        <v>4</v>
      </c>
      <c r="C66" s="196" t="s">
        <v>26</v>
      </c>
      <c r="D66" s="196" t="s">
        <v>56</v>
      </c>
      <c r="E66" s="196" t="s">
        <v>57</v>
      </c>
      <c r="F66" s="195" t="s">
        <v>16</v>
      </c>
      <c r="G66" s="197">
        <v>2.95</v>
      </c>
      <c r="H66" s="198">
        <v>420</v>
      </c>
      <c r="I66" s="199">
        <v>17</v>
      </c>
      <c r="J66" s="200">
        <v>7140</v>
      </c>
      <c r="K66" s="201">
        <f t="shared" si="1"/>
        <v>21063</v>
      </c>
      <c r="L66" s="202">
        <f t="shared" si="2"/>
        <v>21403</v>
      </c>
      <c r="M66" s="203">
        <v>393</v>
      </c>
      <c r="N66" s="58">
        <v>393</v>
      </c>
      <c r="O66" s="26">
        <f t="shared" si="0"/>
        <v>0</v>
      </c>
      <c r="P66" s="204">
        <f t="shared" si="54"/>
        <v>105002.95201199999</v>
      </c>
      <c r="Q66" s="205">
        <f t="shared" si="55"/>
        <v>0.16332813559322035</v>
      </c>
      <c r="R66" s="206">
        <v>0.17</v>
      </c>
      <c r="S66" s="207">
        <f>G66*J66*Q66*$T$3</f>
        <v>105597.37311555601</v>
      </c>
      <c r="T66" s="208">
        <f t="shared" si="56"/>
        <v>0</v>
      </c>
      <c r="U66" s="202">
        <f t="shared" si="57"/>
        <v>1609.0858000000001</v>
      </c>
      <c r="V66" s="202">
        <f t="shared" si="58"/>
        <v>37420.6</v>
      </c>
      <c r="W66" s="207">
        <f t="shared" si="59"/>
        <v>1871.03</v>
      </c>
      <c r="X66" s="207">
        <f t="shared" si="60"/>
        <v>9000</v>
      </c>
      <c r="Y66" s="208">
        <f t="shared" si="61"/>
        <v>0</v>
      </c>
      <c r="Z66" s="207">
        <f t="shared" si="62"/>
        <v>4864.6779999999999</v>
      </c>
      <c r="AA66" s="202">
        <f t="shared" si="63"/>
        <v>3854.3218000000002</v>
      </c>
      <c r="AB66" s="209">
        <f t="shared" si="64"/>
        <v>21119.474623111204</v>
      </c>
      <c r="AC66" s="209">
        <f t="shared" si="65"/>
        <v>22809.032592960099</v>
      </c>
      <c r="AD66" s="207">
        <f t="shared" si="66"/>
        <v>500</v>
      </c>
      <c r="AE66" s="207">
        <f t="shared" si="67"/>
        <v>210322.75861891345</v>
      </c>
      <c r="AF66" s="207">
        <f t="shared" si="68"/>
        <v>29.456968994245582</v>
      </c>
      <c r="AG66" s="209">
        <f t="shared" si="69"/>
        <v>29.996789974637739</v>
      </c>
    </row>
    <row r="67" spans="1:33" x14ac:dyDescent="0.2">
      <c r="A67" s="194" t="s">
        <v>120</v>
      </c>
      <c r="B67" s="195" t="s">
        <v>4</v>
      </c>
      <c r="C67" s="196" t="s">
        <v>27</v>
      </c>
      <c r="D67" s="196" t="s">
        <v>56</v>
      </c>
      <c r="E67" s="196" t="s">
        <v>57</v>
      </c>
      <c r="F67" s="195" t="s">
        <v>16</v>
      </c>
      <c r="G67" s="197">
        <v>2.65</v>
      </c>
      <c r="H67" s="198">
        <v>416</v>
      </c>
      <c r="I67" s="199">
        <v>19</v>
      </c>
      <c r="J67" s="200">
        <v>7904</v>
      </c>
      <c r="K67" s="201">
        <f t="shared" si="1"/>
        <v>20945.599999999999</v>
      </c>
      <c r="L67" s="202">
        <f t="shared" si="2"/>
        <v>21325.599999999999</v>
      </c>
      <c r="M67" s="203">
        <v>393</v>
      </c>
      <c r="N67" s="58">
        <v>393</v>
      </c>
      <c r="O67" s="26">
        <f t="shared" si="0"/>
        <v>0</v>
      </c>
      <c r="P67" s="204">
        <f t="shared" si="54"/>
        <v>116238.5620032</v>
      </c>
      <c r="Q67" s="205">
        <f t="shared" si="55"/>
        <v>0.18181811320754718</v>
      </c>
      <c r="R67" s="206">
        <v>0.17</v>
      </c>
      <c r="S67" s="207">
        <f>G67*J67*Q67*$T$3</f>
        <v>116896.5878298816</v>
      </c>
      <c r="T67" s="208">
        <f t="shared" si="56"/>
        <v>0</v>
      </c>
      <c r="U67" s="202">
        <f t="shared" si="57"/>
        <v>1609.0858000000001</v>
      </c>
      <c r="V67" s="202">
        <f t="shared" si="58"/>
        <v>37420.6</v>
      </c>
      <c r="W67" s="207">
        <f t="shared" si="59"/>
        <v>1871.03</v>
      </c>
      <c r="X67" s="207">
        <f t="shared" si="60"/>
        <v>9000</v>
      </c>
      <c r="Y67" s="208">
        <f t="shared" si="61"/>
        <v>0</v>
      </c>
      <c r="Z67" s="207">
        <f t="shared" si="62"/>
        <v>4864.6779999999999</v>
      </c>
      <c r="AA67" s="202">
        <f t="shared" si="63"/>
        <v>3854.3218000000002</v>
      </c>
      <c r="AB67" s="209">
        <f t="shared" si="64"/>
        <v>23379.317565976322</v>
      </c>
      <c r="AC67" s="209">
        <f t="shared" si="65"/>
        <v>25249.662971254427</v>
      </c>
      <c r="AD67" s="207">
        <f t="shared" si="66"/>
        <v>500</v>
      </c>
      <c r="AE67" s="207">
        <f t="shared" si="67"/>
        <v>226736.9244306437</v>
      </c>
      <c r="AF67" s="207">
        <f t="shared" si="68"/>
        <v>28.686351775132046</v>
      </c>
      <c r="AG67" s="209">
        <f t="shared" si="69"/>
        <v>29.173993703269698</v>
      </c>
    </row>
    <row r="68" spans="1:33" x14ac:dyDescent="0.2">
      <c r="A68" s="22"/>
      <c r="B68" s="23"/>
      <c r="C68" s="5"/>
      <c r="D68" s="5"/>
      <c r="E68" s="5"/>
      <c r="F68" s="23"/>
      <c r="G68" s="24"/>
      <c r="H68" s="25"/>
      <c r="I68" s="30"/>
      <c r="J68" s="36"/>
      <c r="K68" s="54"/>
      <c r="L68" s="50"/>
      <c r="M68" s="29"/>
      <c r="N68" s="58"/>
      <c r="O68" s="26">
        <f t="shared" si="0"/>
        <v>0</v>
      </c>
      <c r="P68" s="58"/>
      <c r="Q68" s="65"/>
      <c r="R68" s="52"/>
      <c r="S68" s="53"/>
      <c r="T68" s="55"/>
      <c r="U68" s="50"/>
      <c r="V68" s="50"/>
      <c r="W68" s="53"/>
      <c r="X68" s="53"/>
      <c r="Y68" s="55"/>
      <c r="Z68" s="53"/>
      <c r="AA68" s="50"/>
      <c r="AB68" s="67"/>
      <c r="AC68" s="67"/>
      <c r="AD68" s="53"/>
      <c r="AE68" s="53"/>
      <c r="AF68" s="53"/>
      <c r="AG68" s="67"/>
    </row>
    <row r="69" spans="1:33" x14ac:dyDescent="0.2">
      <c r="A69" s="194" t="s">
        <v>121</v>
      </c>
      <c r="B69" s="195" t="s">
        <v>28</v>
      </c>
      <c r="C69" s="196" t="s">
        <v>70</v>
      </c>
      <c r="D69" s="196" t="s">
        <v>56</v>
      </c>
      <c r="E69" s="196" t="s">
        <v>57</v>
      </c>
      <c r="F69" s="195" t="s">
        <v>29</v>
      </c>
      <c r="G69" s="197">
        <v>4</v>
      </c>
      <c r="H69" s="198">
        <v>270</v>
      </c>
      <c r="I69" s="199">
        <v>20</v>
      </c>
      <c r="J69" s="200">
        <v>5400</v>
      </c>
      <c r="K69" s="201">
        <f t="shared" ref="K69:K105" si="70">G69*J69</f>
        <v>21600</v>
      </c>
      <c r="L69" s="202">
        <f t="shared" ref="L69:L105" si="71">(G69*J69)+(I69*20)</f>
        <v>22000</v>
      </c>
      <c r="M69" s="203">
        <v>602</v>
      </c>
      <c r="N69" s="58">
        <v>602</v>
      </c>
      <c r="O69" s="26">
        <f t="shared" si="0"/>
        <v>0</v>
      </c>
      <c r="P69" s="204">
        <f>M69*J69*$T$2/1000</f>
        <v>121646.88648</v>
      </c>
      <c r="Q69" s="205">
        <f>M69/1000/G69*$T$1</f>
        <v>0.18451299999999998</v>
      </c>
      <c r="R69" s="206">
        <v>0.17</v>
      </c>
      <c r="S69" s="207">
        <f>G69*J69*Q69*$T$3</f>
        <v>122335.52880023999</v>
      </c>
      <c r="T69" s="208">
        <f>$T$9</f>
        <v>0</v>
      </c>
      <c r="U69" s="202">
        <f>$U$9*$T$2</f>
        <v>1609.0858000000001</v>
      </c>
      <c r="V69" s="202">
        <f>$V$9*$T$2</f>
        <v>37420.6</v>
      </c>
      <c r="W69" s="207">
        <f>$W$9*$T$2</f>
        <v>1871.03</v>
      </c>
      <c r="X69" s="207">
        <f>$X$9</f>
        <v>9000</v>
      </c>
      <c r="Y69" s="208">
        <f>$Y$9</f>
        <v>0</v>
      </c>
      <c r="Z69" s="207">
        <f>$Z$9*$T$2</f>
        <v>4864.6779999999999</v>
      </c>
      <c r="AA69" s="202">
        <f>$AA$9*$T$2*$AE$9</f>
        <v>3854.3218000000002</v>
      </c>
      <c r="AB69" s="209">
        <f>S69*$AB$9</f>
        <v>24467.105760047998</v>
      </c>
      <c r="AC69" s="209">
        <f>(S69+AB69)*$AC$9</f>
        <v>26424.474220851836</v>
      </c>
      <c r="AD69" s="207">
        <f>$AD$9</f>
        <v>500</v>
      </c>
      <c r="AE69" s="207">
        <f>(P69+T69+U69+V69+W69+X69+Y69+Z69+AB69+AC69+AD69)*$AE$9</f>
        <v>234637.97606872686</v>
      </c>
      <c r="AF69" s="207">
        <f>AE69/J69</f>
        <v>43.451477049764236</v>
      </c>
      <c r="AG69" s="209">
        <f>AA69/J69+AF69</f>
        <v>44.165240346060536</v>
      </c>
    </row>
    <row r="70" spans="1:33" x14ac:dyDescent="0.2">
      <c r="A70" s="194" t="s">
        <v>122</v>
      </c>
      <c r="B70" s="195" t="s">
        <v>30</v>
      </c>
      <c r="C70" s="196" t="s">
        <v>71</v>
      </c>
      <c r="D70" s="196" t="s">
        <v>56</v>
      </c>
      <c r="E70" s="196" t="s">
        <v>57</v>
      </c>
      <c r="F70" s="195" t="s">
        <v>29</v>
      </c>
      <c r="G70" s="197">
        <v>4</v>
      </c>
      <c r="H70" s="198">
        <v>364</v>
      </c>
      <c r="I70" s="199">
        <v>14</v>
      </c>
      <c r="J70" s="200">
        <v>5096</v>
      </c>
      <c r="K70" s="201">
        <f t="shared" si="70"/>
        <v>20384</v>
      </c>
      <c r="L70" s="202">
        <f t="shared" si="71"/>
        <v>20664</v>
      </c>
      <c r="M70" s="203">
        <v>602</v>
      </c>
      <c r="N70" s="58">
        <v>602</v>
      </c>
      <c r="O70" s="26">
        <f t="shared" si="0"/>
        <v>0</v>
      </c>
      <c r="P70" s="204">
        <f>M70*J70*$T$2/1000</f>
        <v>114798.6173152</v>
      </c>
      <c r="Q70" s="205">
        <f>M70/1000/G70*$T$1</f>
        <v>0.18451299999999998</v>
      </c>
      <c r="R70" s="206">
        <v>0.17</v>
      </c>
      <c r="S70" s="207">
        <f>G70*J70*Q70*$T$3</f>
        <v>115448.4916233376</v>
      </c>
      <c r="T70" s="208">
        <f>$T$9</f>
        <v>0</v>
      </c>
      <c r="U70" s="202">
        <f>$U$9*$T$2</f>
        <v>1609.0858000000001</v>
      </c>
      <c r="V70" s="202">
        <f>$V$9*$T$2</f>
        <v>37420.6</v>
      </c>
      <c r="W70" s="207">
        <f>$W$9*$T$2</f>
        <v>1871.03</v>
      </c>
      <c r="X70" s="207">
        <f>$X$9</f>
        <v>9000</v>
      </c>
      <c r="Y70" s="208">
        <f>$Y$9</f>
        <v>0</v>
      </c>
      <c r="Z70" s="207">
        <f>$Z$9*$T$2</f>
        <v>4864.6779999999999</v>
      </c>
      <c r="AA70" s="202">
        <f>$AA$9*$T$2*$AE$9</f>
        <v>3854.3218000000002</v>
      </c>
      <c r="AB70" s="209">
        <f>S70*$AB$9</f>
        <v>23089.698324667523</v>
      </c>
      <c r="AC70" s="209">
        <f>(S70+AB70)*$AC$9</f>
        <v>24936.874190640923</v>
      </c>
      <c r="AD70" s="207">
        <f>$AD$9</f>
        <v>500</v>
      </c>
      <c r="AE70" s="207">
        <f>(P70+T70+U70+V70+W70+X70+Y70+Z70+AB70+AC70+AD70)*$AE$9</f>
        <v>224633.30113942371</v>
      </c>
      <c r="AF70" s="207">
        <f>AE70/J70</f>
        <v>44.080318119981108</v>
      </c>
      <c r="AG70" s="209">
        <f>AA70/J70+AF70</f>
        <v>44.836660702398689</v>
      </c>
    </row>
    <row r="71" spans="1:33" x14ac:dyDescent="0.2">
      <c r="A71" s="27"/>
      <c r="B71" s="8"/>
      <c r="C71" s="9"/>
      <c r="D71" s="9"/>
      <c r="E71" s="9"/>
      <c r="F71" s="8"/>
      <c r="G71" s="24"/>
      <c r="H71" s="25"/>
      <c r="I71" s="30"/>
      <c r="J71" s="36"/>
      <c r="K71" s="54"/>
      <c r="L71" s="50"/>
      <c r="M71" s="28"/>
      <c r="N71" s="58"/>
      <c r="O71" s="26">
        <f t="shared" si="0"/>
        <v>0</v>
      </c>
      <c r="P71" s="58"/>
      <c r="Q71" s="65"/>
      <c r="R71" s="64"/>
      <c r="S71" s="53"/>
      <c r="T71" s="55"/>
      <c r="U71" s="50"/>
      <c r="V71" s="50"/>
      <c r="W71" s="53"/>
      <c r="X71" s="53"/>
      <c r="Y71" s="55"/>
      <c r="Z71" s="53"/>
      <c r="AA71" s="50"/>
      <c r="AB71" s="67"/>
      <c r="AC71" s="67"/>
      <c r="AD71" s="53"/>
      <c r="AE71" s="53"/>
      <c r="AF71" s="53"/>
      <c r="AG71" s="67"/>
    </row>
    <row r="72" spans="1:33" ht="15" x14ac:dyDescent="0.25">
      <c r="A72" s="15" t="s">
        <v>53</v>
      </c>
      <c r="B72" s="16"/>
      <c r="C72" s="17"/>
      <c r="D72" s="17"/>
      <c r="E72" s="17"/>
      <c r="F72" s="16"/>
      <c r="G72" s="18"/>
      <c r="H72" s="19"/>
      <c r="I72" s="31"/>
      <c r="J72" s="36"/>
      <c r="K72" s="54"/>
      <c r="L72" s="50"/>
      <c r="M72" s="28"/>
      <c r="N72" s="58"/>
      <c r="O72" s="26">
        <f t="shared" si="0"/>
        <v>0</v>
      </c>
      <c r="P72" s="58"/>
      <c r="Q72" s="65"/>
      <c r="R72" s="56"/>
      <c r="S72" s="53"/>
      <c r="T72" s="55"/>
      <c r="U72" s="50"/>
      <c r="V72" s="50"/>
      <c r="W72" s="53"/>
      <c r="X72" s="53"/>
      <c r="Y72" s="55"/>
      <c r="Z72" s="53"/>
      <c r="AA72" s="50"/>
      <c r="AB72" s="67"/>
      <c r="AC72" s="67"/>
      <c r="AD72" s="53"/>
      <c r="AE72" s="53"/>
      <c r="AF72" s="53"/>
      <c r="AG72" s="67"/>
    </row>
    <row r="73" spans="1:33" s="227" customFormat="1" x14ac:dyDescent="0.2">
      <c r="A73" s="211" t="s">
        <v>123</v>
      </c>
      <c r="B73" s="212" t="s">
        <v>4</v>
      </c>
      <c r="C73" s="213" t="s">
        <v>1</v>
      </c>
      <c r="D73" s="213" t="s">
        <v>56</v>
      </c>
      <c r="E73" s="213" t="s">
        <v>57</v>
      </c>
      <c r="F73" s="212" t="s">
        <v>31</v>
      </c>
      <c r="G73" s="214">
        <v>4.2</v>
      </c>
      <c r="H73" s="215">
        <v>344</v>
      </c>
      <c r="I73" s="216">
        <v>15</v>
      </c>
      <c r="J73" s="217">
        <v>5160</v>
      </c>
      <c r="K73" s="218">
        <f t="shared" si="70"/>
        <v>21672</v>
      </c>
      <c r="L73" s="219">
        <f t="shared" si="71"/>
        <v>21972</v>
      </c>
      <c r="M73" s="220">
        <v>318</v>
      </c>
      <c r="N73" s="58">
        <v>318</v>
      </c>
      <c r="O73" s="26">
        <f t="shared" si="0"/>
        <v>0</v>
      </c>
      <c r="P73" s="221">
        <f>M73*J73*$T$2/1000</f>
        <v>61402.714128</v>
      </c>
      <c r="Q73" s="222">
        <f>M73/1000/G73*$T$1</f>
        <v>9.2825714285714275E-2</v>
      </c>
      <c r="R73" s="223">
        <v>0.16</v>
      </c>
      <c r="S73" s="224">
        <f>G73*J73*R73*$T$3</f>
        <v>106436.566656</v>
      </c>
      <c r="T73" s="225">
        <f>$T$9</f>
        <v>0</v>
      </c>
      <c r="U73" s="219">
        <f>$U$9*$T$2</f>
        <v>1609.0858000000001</v>
      </c>
      <c r="V73" s="219">
        <f>$V$9*$T$2</f>
        <v>37420.6</v>
      </c>
      <c r="W73" s="224">
        <f>$W$9*$T$2</f>
        <v>1871.03</v>
      </c>
      <c r="X73" s="224">
        <f>$X$9</f>
        <v>9000</v>
      </c>
      <c r="Y73" s="225">
        <f>$Y$9</f>
        <v>0</v>
      </c>
      <c r="Z73" s="224">
        <f>$Z$9*$T$2</f>
        <v>4864.6779999999999</v>
      </c>
      <c r="AA73" s="219">
        <f>$AA$9*$T$2*$AE$9</f>
        <v>3854.3218000000002</v>
      </c>
      <c r="AB73" s="226">
        <f>S73*$AB$9</f>
        <v>21287.313331199999</v>
      </c>
      <c r="AC73" s="226">
        <f>(S73+AB73)*$AC$9</f>
        <v>22990.298397695999</v>
      </c>
      <c r="AD73" s="224">
        <f>$AD$9</f>
        <v>500</v>
      </c>
      <c r="AE73" s="224">
        <f>(P73+T73+U73+V73+W73+X73+Y73+Z73+AB73+AC73+AD73)*$AE$9</f>
        <v>165774.09124660288</v>
      </c>
      <c r="AF73" s="224">
        <f>AE73/J73</f>
        <v>32.126761869496683</v>
      </c>
      <c r="AG73" s="226">
        <f>AA73/J73+AF73</f>
        <v>32.873723458643973</v>
      </c>
    </row>
    <row r="74" spans="1:33" s="227" customFormat="1" x14ac:dyDescent="0.2">
      <c r="A74" s="211" t="s">
        <v>189</v>
      </c>
      <c r="B74" s="212" t="s">
        <v>181</v>
      </c>
      <c r="C74" s="213" t="s">
        <v>1</v>
      </c>
      <c r="D74" s="213" t="s">
        <v>56</v>
      </c>
      <c r="E74" s="213" t="s">
        <v>57</v>
      </c>
      <c r="F74" s="212" t="s">
        <v>31</v>
      </c>
      <c r="G74" s="214">
        <v>2.87</v>
      </c>
      <c r="H74" s="215">
        <v>420</v>
      </c>
      <c r="I74" s="216">
        <v>17</v>
      </c>
      <c r="J74" s="217">
        <v>7140</v>
      </c>
      <c r="K74" s="218">
        <f t="shared" si="70"/>
        <v>20491.8</v>
      </c>
      <c r="L74" s="219">
        <f t="shared" si="71"/>
        <v>20831.8</v>
      </c>
      <c r="M74" s="220">
        <v>310</v>
      </c>
      <c r="N74" s="58">
        <v>310</v>
      </c>
      <c r="O74" s="26">
        <f t="shared" si="0"/>
        <v>0</v>
      </c>
      <c r="P74" s="221">
        <f>M74*J74*$T$2/1000</f>
        <v>82826.756040000007</v>
      </c>
      <c r="Q74" s="222">
        <f>M74/1000/G74*$T$1</f>
        <v>0.13242508710801393</v>
      </c>
      <c r="R74" s="223">
        <v>0.16</v>
      </c>
      <c r="S74" s="224">
        <f>G74*J74*R74*$T$3</f>
        <v>100640.3117664</v>
      </c>
      <c r="T74" s="225">
        <f>$T$9</f>
        <v>0</v>
      </c>
      <c r="U74" s="219">
        <f>$U$9*$T$2</f>
        <v>1609.0858000000001</v>
      </c>
      <c r="V74" s="219">
        <f>$V$9*$T$2</f>
        <v>37420.6</v>
      </c>
      <c r="W74" s="224">
        <f>$W$9*$T$2</f>
        <v>1871.03</v>
      </c>
      <c r="X74" s="224">
        <f>$X$9</f>
        <v>9000</v>
      </c>
      <c r="Y74" s="225">
        <f>$Y$9</f>
        <v>0</v>
      </c>
      <c r="Z74" s="224">
        <f>$Z$9*$T$2</f>
        <v>4864.6779999999999</v>
      </c>
      <c r="AA74" s="219">
        <f>$AA$9*$T$2*$AE$9</f>
        <v>3854.3218000000002</v>
      </c>
      <c r="AB74" s="226">
        <f>S74*$AB$9</f>
        <v>20128.062353280002</v>
      </c>
      <c r="AC74" s="226">
        <f>(S74+AB74)*$AC$9</f>
        <v>21738.307341542397</v>
      </c>
      <c r="AD74" s="224">
        <f>$AD$9</f>
        <v>500</v>
      </c>
      <c r="AE74" s="224">
        <f>(P74+T74+U74+V74+W74+X74+Y74+Z74+AB74+AC74+AD74)*$AE$9</f>
        <v>185357.2751208671</v>
      </c>
      <c r="AF74" s="224">
        <f>AE74/J74</f>
        <v>25.96040267799259</v>
      </c>
      <c r="AG74" s="226">
        <f>AA74/J74+AF74</f>
        <v>26.500223658384748</v>
      </c>
    </row>
    <row r="75" spans="1:33" x14ac:dyDescent="0.2">
      <c r="A75" s="22" t="s">
        <v>124</v>
      </c>
      <c r="B75" s="23" t="s">
        <v>4</v>
      </c>
      <c r="C75" s="5" t="s">
        <v>5</v>
      </c>
      <c r="D75" s="5" t="s">
        <v>59</v>
      </c>
      <c r="E75" s="5" t="s">
        <v>57</v>
      </c>
      <c r="F75" s="23" t="s">
        <v>31</v>
      </c>
      <c r="G75" s="24">
        <v>4.4000000000000004</v>
      </c>
      <c r="H75" s="25">
        <v>344</v>
      </c>
      <c r="I75" s="8">
        <v>14</v>
      </c>
      <c r="J75" s="35">
        <v>4816</v>
      </c>
      <c r="K75" s="54">
        <f t="shared" si="70"/>
        <v>21190.400000000001</v>
      </c>
      <c r="L75" s="50">
        <f t="shared" si="71"/>
        <v>21470.400000000001</v>
      </c>
      <c r="M75" s="26">
        <v>530</v>
      </c>
      <c r="N75" s="58">
        <v>530</v>
      </c>
      <c r="O75" s="26">
        <f t="shared" si="0"/>
        <v>0</v>
      </c>
      <c r="P75" s="58">
        <f>M75*J75*$T$2/1000</f>
        <v>95515.333087999999</v>
      </c>
      <c r="Q75" s="65">
        <f>M75/1000/G75*$T$1</f>
        <v>0.14767727272727271</v>
      </c>
      <c r="R75" s="52">
        <v>0.16</v>
      </c>
      <c r="S75" s="53">
        <f>G75*J75*R75*$T$3</f>
        <v>104071.30961920001</v>
      </c>
      <c r="T75" s="55">
        <f>$T$9</f>
        <v>0</v>
      </c>
      <c r="U75" s="50">
        <f>$U$9*$T$2</f>
        <v>1609.0858000000001</v>
      </c>
      <c r="V75" s="50">
        <f>$V$9*$T$2</f>
        <v>37420.6</v>
      </c>
      <c r="W75" s="53">
        <f>$W$9*$T$2</f>
        <v>1871.03</v>
      </c>
      <c r="X75" s="53">
        <f>$X$9</f>
        <v>9000</v>
      </c>
      <c r="Y75" s="55">
        <f>$Y$9</f>
        <v>0</v>
      </c>
      <c r="Z75" s="53">
        <f>$Z$9*$T$2</f>
        <v>4864.6779999999999</v>
      </c>
      <c r="AA75" s="50">
        <f>$AA$9*$T$2*$AE$9</f>
        <v>3854.3218000000002</v>
      </c>
      <c r="AB75" s="67">
        <f>S75*$AB$9</f>
        <v>20814.261923840004</v>
      </c>
      <c r="AC75" s="67">
        <f>(S75+AB75)*$AC$9</f>
        <v>22479.402877747201</v>
      </c>
      <c r="AD75" s="53">
        <f>$AD$9</f>
        <v>500</v>
      </c>
      <c r="AE75" s="53">
        <f>(P75+T75+U75+V75+W75+X75+Y75+Z75+AB75+AC75+AD75)*$AE$9</f>
        <v>199896.62344027479</v>
      </c>
      <c r="AF75" s="53">
        <f>AE75/J75</f>
        <v>41.506773970156729</v>
      </c>
      <c r="AG75" s="67">
        <f>AA75/J75+AF75</f>
        <v>42.30708995852882</v>
      </c>
    </row>
    <row r="76" spans="1:33" x14ac:dyDescent="0.2">
      <c r="A76" s="22" t="s">
        <v>125</v>
      </c>
      <c r="B76" s="23" t="s">
        <v>4</v>
      </c>
      <c r="C76" s="5" t="s">
        <v>7</v>
      </c>
      <c r="D76" s="5" t="s">
        <v>59</v>
      </c>
      <c r="E76" s="5" t="s">
        <v>61</v>
      </c>
      <c r="F76" s="23" t="s">
        <v>31</v>
      </c>
      <c r="G76" s="24">
        <v>4.4000000000000004</v>
      </c>
      <c r="H76" s="25">
        <v>344</v>
      </c>
      <c r="I76" s="8">
        <v>14</v>
      </c>
      <c r="J76" s="35">
        <v>4816</v>
      </c>
      <c r="K76" s="54">
        <f t="shared" si="70"/>
        <v>21190.400000000001</v>
      </c>
      <c r="L76" s="50">
        <f t="shared" si="71"/>
        <v>21470.400000000001</v>
      </c>
      <c r="M76" s="26">
        <v>530</v>
      </c>
      <c r="N76" s="58">
        <v>530</v>
      </c>
      <c r="O76" s="26">
        <f t="shared" si="0"/>
        <v>0</v>
      </c>
      <c r="P76" s="58">
        <f>M76*J76*$T$2/1000</f>
        <v>95515.333087999999</v>
      </c>
      <c r="Q76" s="65">
        <f>M76/1000/G76*$T$1</f>
        <v>0.14767727272727271</v>
      </c>
      <c r="R76" s="52">
        <v>0.16</v>
      </c>
      <c r="S76" s="53">
        <f>G76*J76*R76*$T$3</f>
        <v>104071.30961920001</v>
      </c>
      <c r="T76" s="55">
        <f>$T$9</f>
        <v>0</v>
      </c>
      <c r="U76" s="50">
        <f>$U$9*$T$2</f>
        <v>1609.0858000000001</v>
      </c>
      <c r="V76" s="50">
        <f>$V$9*$T$2</f>
        <v>37420.6</v>
      </c>
      <c r="W76" s="53">
        <f>$W$9*$T$2</f>
        <v>1871.03</v>
      </c>
      <c r="X76" s="53">
        <f>$X$9</f>
        <v>9000</v>
      </c>
      <c r="Y76" s="55">
        <f>$Y$9</f>
        <v>0</v>
      </c>
      <c r="Z76" s="53">
        <f>$Z$9*$T$2</f>
        <v>4864.6779999999999</v>
      </c>
      <c r="AA76" s="50">
        <f>$AA$9*$T$2*$AE$9</f>
        <v>3854.3218000000002</v>
      </c>
      <c r="AB76" s="67">
        <f>S76*$AB$9</f>
        <v>20814.261923840004</v>
      </c>
      <c r="AC76" s="67">
        <f>(S76+AB76)*$AC$9</f>
        <v>22479.402877747201</v>
      </c>
      <c r="AD76" s="53">
        <f>$AD$9</f>
        <v>500</v>
      </c>
      <c r="AE76" s="53">
        <f>(P76+T76+U76+V76+W76+X76+Y76+Z76+AB76+AC76+AD76)*$AE$9</f>
        <v>199896.62344027479</v>
      </c>
      <c r="AF76" s="53">
        <f>AE76/J76</f>
        <v>41.506773970156729</v>
      </c>
      <c r="AG76" s="67">
        <f>AA76/J76+AF76</f>
        <v>42.30708995852882</v>
      </c>
    </row>
    <row r="77" spans="1:33" x14ac:dyDescent="0.2">
      <c r="A77" s="22"/>
      <c r="B77" s="23"/>
      <c r="C77" s="5"/>
      <c r="D77" s="5"/>
      <c r="E77" s="5"/>
      <c r="F77" s="23"/>
      <c r="G77" s="24"/>
      <c r="H77" s="25"/>
      <c r="I77" s="30"/>
      <c r="J77" s="36"/>
      <c r="K77" s="54"/>
      <c r="L77" s="50"/>
      <c r="M77" s="29"/>
      <c r="N77" s="58"/>
      <c r="O77" s="26">
        <f t="shared" ref="O77:O99" si="72">M77-N77</f>
        <v>0</v>
      </c>
      <c r="P77" s="58"/>
      <c r="Q77" s="65"/>
      <c r="R77" s="52"/>
      <c r="S77" s="53"/>
      <c r="T77" s="55"/>
      <c r="U77" s="50"/>
      <c r="V77" s="50"/>
      <c r="W77" s="53"/>
      <c r="X77" s="53"/>
      <c r="Y77" s="55"/>
      <c r="Z77" s="53"/>
      <c r="AA77" s="50"/>
      <c r="AB77" s="67"/>
      <c r="AC77" s="67"/>
      <c r="AD77" s="53"/>
      <c r="AE77" s="53"/>
      <c r="AF77" s="53"/>
      <c r="AG77" s="67"/>
    </row>
    <row r="78" spans="1:33" x14ac:dyDescent="0.2">
      <c r="A78" s="194" t="s">
        <v>126</v>
      </c>
      <c r="B78" s="195" t="s">
        <v>4</v>
      </c>
      <c r="C78" s="196" t="s">
        <v>32</v>
      </c>
      <c r="D78" s="196" t="s">
        <v>56</v>
      </c>
      <c r="E78" s="196" t="s">
        <v>57</v>
      </c>
      <c r="F78" s="195" t="s">
        <v>31</v>
      </c>
      <c r="G78" s="197">
        <v>4.0999999999999996</v>
      </c>
      <c r="H78" s="198">
        <v>360</v>
      </c>
      <c r="I78" s="199">
        <v>14</v>
      </c>
      <c r="J78" s="200">
        <v>5040</v>
      </c>
      <c r="K78" s="201">
        <f t="shared" si="70"/>
        <v>20664</v>
      </c>
      <c r="L78" s="202">
        <f t="shared" si="71"/>
        <v>20944</v>
      </c>
      <c r="M78" s="203">
        <v>561</v>
      </c>
      <c r="N78" s="58">
        <v>561</v>
      </c>
      <c r="O78" s="26">
        <f t="shared" si="72"/>
        <v>0</v>
      </c>
      <c r="P78" s="204">
        <f t="shared" ref="P78:P84" si="73">M78*J78*$T$2/1000</f>
        <v>105804.50126399999</v>
      </c>
      <c r="Q78" s="205">
        <f t="shared" ref="Q78:Q84" si="74">M78/1000/G78*$T$1</f>
        <v>0.16775268292682932</v>
      </c>
      <c r="R78" s="206">
        <v>0.16</v>
      </c>
      <c r="S78" s="207">
        <f t="shared" ref="S78:S84" si="75">G78*J78*Q78*$T$3</f>
        <v>106403.45993323202</v>
      </c>
      <c r="T78" s="208">
        <f t="shared" ref="T78:T84" si="76">$T$9</f>
        <v>0</v>
      </c>
      <c r="U78" s="202">
        <f t="shared" ref="U78:U84" si="77">$U$9*$T$2</f>
        <v>1609.0858000000001</v>
      </c>
      <c r="V78" s="202">
        <f t="shared" ref="V78:V84" si="78">$V$9*$T$2</f>
        <v>37420.6</v>
      </c>
      <c r="W78" s="207">
        <f t="shared" ref="W78:W84" si="79">$W$9*$T$2</f>
        <v>1871.03</v>
      </c>
      <c r="X78" s="207">
        <f t="shared" ref="X78:X84" si="80">$X$9</f>
        <v>9000</v>
      </c>
      <c r="Y78" s="208">
        <f t="shared" ref="Y78:Y84" si="81">$Y$9</f>
        <v>0</v>
      </c>
      <c r="Z78" s="207">
        <f t="shared" ref="Z78:Z84" si="82">$Z$9*$T$2</f>
        <v>4864.6779999999999</v>
      </c>
      <c r="AA78" s="202">
        <f t="shared" ref="AA78:AA84" si="83">$AA$9*$T$2*$AE$9</f>
        <v>3854.3218000000002</v>
      </c>
      <c r="AB78" s="209">
        <f t="shared" ref="AB78:AB84" si="84">S78*$AB$9</f>
        <v>21280.691986646405</v>
      </c>
      <c r="AC78" s="209">
        <f t="shared" ref="AC78:AC84" si="85">(S78+AB78)*$AC$9</f>
        <v>22983.147345578116</v>
      </c>
      <c r="AD78" s="207">
        <f t="shared" ref="AD78:AD84" si="86">$AD$9</f>
        <v>500</v>
      </c>
      <c r="AE78" s="207">
        <f t="shared" ref="AE78:AE84" si="87">(P78+T78+U78+V78+W78+X78+Y78+Z78+AB78+AC78+AD78)*$AE$9</f>
        <v>211493.74642811125</v>
      </c>
      <c r="AF78" s="207">
        <f t="shared" ref="AF78:AF84" si="88">AE78/J78</f>
        <v>41.963044926212547</v>
      </c>
      <c r="AG78" s="209">
        <f t="shared" ref="AG78:AG84" si="89">AA78/J78+AF78</f>
        <v>42.727791315101435</v>
      </c>
    </row>
    <row r="79" spans="1:33" x14ac:dyDescent="0.2">
      <c r="A79" s="194" t="s">
        <v>127</v>
      </c>
      <c r="B79" s="195" t="s">
        <v>4</v>
      </c>
      <c r="C79" s="196" t="s">
        <v>33</v>
      </c>
      <c r="D79" s="196" t="s">
        <v>56</v>
      </c>
      <c r="E79" s="196" t="s">
        <v>57</v>
      </c>
      <c r="F79" s="195" t="s">
        <v>31</v>
      </c>
      <c r="G79" s="197">
        <v>4</v>
      </c>
      <c r="H79" s="198">
        <v>360</v>
      </c>
      <c r="I79" s="199">
        <v>15</v>
      </c>
      <c r="J79" s="200">
        <v>5400</v>
      </c>
      <c r="K79" s="201">
        <f t="shared" si="70"/>
        <v>21600</v>
      </c>
      <c r="L79" s="202">
        <f t="shared" si="71"/>
        <v>21900</v>
      </c>
      <c r="M79" s="203">
        <v>561</v>
      </c>
      <c r="N79" s="58">
        <v>561</v>
      </c>
      <c r="O79" s="26">
        <f t="shared" si="72"/>
        <v>0</v>
      </c>
      <c r="P79" s="204">
        <f t="shared" si="73"/>
        <v>113361.96563999999</v>
      </c>
      <c r="Q79" s="205">
        <f t="shared" si="74"/>
        <v>0.1719465</v>
      </c>
      <c r="R79" s="206">
        <v>0.16</v>
      </c>
      <c r="S79" s="207">
        <f t="shared" si="75"/>
        <v>114003.70707132001</v>
      </c>
      <c r="T79" s="208">
        <f t="shared" si="76"/>
        <v>0</v>
      </c>
      <c r="U79" s="202">
        <f t="shared" si="77"/>
        <v>1609.0858000000001</v>
      </c>
      <c r="V79" s="202">
        <f t="shared" si="78"/>
        <v>37420.6</v>
      </c>
      <c r="W79" s="207">
        <f t="shared" si="79"/>
        <v>1871.03</v>
      </c>
      <c r="X79" s="207">
        <f t="shared" si="80"/>
        <v>9000</v>
      </c>
      <c r="Y79" s="208">
        <f t="shared" si="81"/>
        <v>0</v>
      </c>
      <c r="Z79" s="207">
        <f t="shared" si="82"/>
        <v>4864.6779999999999</v>
      </c>
      <c r="AA79" s="202">
        <f t="shared" si="83"/>
        <v>3854.3218000000002</v>
      </c>
      <c r="AB79" s="209">
        <f t="shared" si="84"/>
        <v>22800.741414264005</v>
      </c>
      <c r="AC79" s="209">
        <f t="shared" si="85"/>
        <v>24624.80072740512</v>
      </c>
      <c r="AD79" s="207">
        <f t="shared" si="86"/>
        <v>500</v>
      </c>
      <c r="AE79" s="207">
        <f t="shared" si="87"/>
        <v>222534.48862911918</v>
      </c>
      <c r="AF79" s="207">
        <f t="shared" si="88"/>
        <v>41.210090486873924</v>
      </c>
      <c r="AG79" s="209">
        <f t="shared" si="89"/>
        <v>41.923853783170223</v>
      </c>
    </row>
    <row r="80" spans="1:33" x14ac:dyDescent="0.2">
      <c r="A80" s="194" t="s">
        <v>141</v>
      </c>
      <c r="B80" s="195" t="s">
        <v>4</v>
      </c>
      <c r="C80" s="196" t="s">
        <v>142</v>
      </c>
      <c r="D80" s="196" t="s">
        <v>56</v>
      </c>
      <c r="E80" s="196" t="s">
        <v>57</v>
      </c>
      <c r="F80" s="195" t="s">
        <v>31</v>
      </c>
      <c r="G80" s="197">
        <v>4</v>
      </c>
      <c r="H80" s="198">
        <v>360</v>
      </c>
      <c r="I80" s="199">
        <v>15</v>
      </c>
      <c r="J80" s="200">
        <v>5400</v>
      </c>
      <c r="K80" s="201">
        <f t="shared" si="70"/>
        <v>21600</v>
      </c>
      <c r="L80" s="202">
        <f t="shared" si="71"/>
        <v>21900</v>
      </c>
      <c r="M80" s="203">
        <v>561</v>
      </c>
      <c r="N80" s="58">
        <v>561</v>
      </c>
      <c r="O80" s="26">
        <f t="shared" si="72"/>
        <v>0</v>
      </c>
      <c r="P80" s="204">
        <f t="shared" si="73"/>
        <v>113361.96563999999</v>
      </c>
      <c r="Q80" s="205">
        <f t="shared" si="74"/>
        <v>0.1719465</v>
      </c>
      <c r="R80" s="206">
        <v>0.16</v>
      </c>
      <c r="S80" s="207">
        <f t="shared" si="75"/>
        <v>114003.70707132001</v>
      </c>
      <c r="T80" s="208">
        <f t="shared" si="76"/>
        <v>0</v>
      </c>
      <c r="U80" s="202">
        <f t="shared" si="77"/>
        <v>1609.0858000000001</v>
      </c>
      <c r="V80" s="202">
        <f t="shared" si="78"/>
        <v>37420.6</v>
      </c>
      <c r="W80" s="207">
        <f t="shared" si="79"/>
        <v>1871.03</v>
      </c>
      <c r="X80" s="207">
        <f t="shared" si="80"/>
        <v>9000</v>
      </c>
      <c r="Y80" s="208">
        <f t="shared" si="81"/>
        <v>0</v>
      </c>
      <c r="Z80" s="207">
        <f t="shared" si="82"/>
        <v>4864.6779999999999</v>
      </c>
      <c r="AA80" s="202">
        <f t="shared" si="83"/>
        <v>3854.3218000000002</v>
      </c>
      <c r="AB80" s="209">
        <f t="shared" si="84"/>
        <v>22800.741414264005</v>
      </c>
      <c r="AC80" s="209">
        <f t="shared" si="85"/>
        <v>24624.80072740512</v>
      </c>
      <c r="AD80" s="207">
        <f t="shared" si="86"/>
        <v>500</v>
      </c>
      <c r="AE80" s="207">
        <f t="shared" si="87"/>
        <v>222534.48862911918</v>
      </c>
      <c r="AF80" s="207">
        <f t="shared" si="88"/>
        <v>41.210090486873924</v>
      </c>
      <c r="AG80" s="209">
        <f t="shared" si="89"/>
        <v>41.923853783170223</v>
      </c>
    </row>
    <row r="81" spans="1:33" x14ac:dyDescent="0.2">
      <c r="A81" s="194" t="s">
        <v>128</v>
      </c>
      <c r="B81" s="195" t="s">
        <v>4</v>
      </c>
      <c r="C81" s="196" t="s">
        <v>34</v>
      </c>
      <c r="D81" s="196" t="s">
        <v>56</v>
      </c>
      <c r="E81" s="196" t="s">
        <v>57</v>
      </c>
      <c r="F81" s="195" t="s">
        <v>31</v>
      </c>
      <c r="G81" s="197">
        <v>4</v>
      </c>
      <c r="H81" s="198">
        <v>360</v>
      </c>
      <c r="I81" s="199">
        <v>15</v>
      </c>
      <c r="J81" s="200">
        <v>5400</v>
      </c>
      <c r="K81" s="201">
        <f t="shared" si="70"/>
        <v>21600</v>
      </c>
      <c r="L81" s="202">
        <f t="shared" si="71"/>
        <v>21900</v>
      </c>
      <c r="M81" s="203">
        <v>561</v>
      </c>
      <c r="N81" s="58">
        <v>561</v>
      </c>
      <c r="O81" s="26">
        <f t="shared" si="72"/>
        <v>0</v>
      </c>
      <c r="P81" s="204">
        <f t="shared" si="73"/>
        <v>113361.96563999999</v>
      </c>
      <c r="Q81" s="205">
        <f t="shared" si="74"/>
        <v>0.1719465</v>
      </c>
      <c r="R81" s="206">
        <v>0.16</v>
      </c>
      <c r="S81" s="207">
        <f t="shared" si="75"/>
        <v>114003.70707132001</v>
      </c>
      <c r="T81" s="208">
        <f t="shared" si="76"/>
        <v>0</v>
      </c>
      <c r="U81" s="202">
        <f t="shared" si="77"/>
        <v>1609.0858000000001</v>
      </c>
      <c r="V81" s="202">
        <f t="shared" si="78"/>
        <v>37420.6</v>
      </c>
      <c r="W81" s="207">
        <f t="shared" si="79"/>
        <v>1871.03</v>
      </c>
      <c r="X81" s="207">
        <f t="shared" si="80"/>
        <v>9000</v>
      </c>
      <c r="Y81" s="208">
        <f t="shared" si="81"/>
        <v>0</v>
      </c>
      <c r="Z81" s="207">
        <f t="shared" si="82"/>
        <v>4864.6779999999999</v>
      </c>
      <c r="AA81" s="202">
        <f t="shared" si="83"/>
        <v>3854.3218000000002</v>
      </c>
      <c r="AB81" s="209">
        <f t="shared" si="84"/>
        <v>22800.741414264005</v>
      </c>
      <c r="AC81" s="209">
        <f t="shared" si="85"/>
        <v>24624.80072740512</v>
      </c>
      <c r="AD81" s="207">
        <f t="shared" si="86"/>
        <v>500</v>
      </c>
      <c r="AE81" s="207">
        <f t="shared" si="87"/>
        <v>222534.48862911918</v>
      </c>
      <c r="AF81" s="207">
        <f t="shared" si="88"/>
        <v>41.210090486873924</v>
      </c>
      <c r="AG81" s="209">
        <f t="shared" si="89"/>
        <v>41.923853783170223</v>
      </c>
    </row>
    <row r="82" spans="1:33" x14ac:dyDescent="0.2">
      <c r="A82" s="22" t="s">
        <v>129</v>
      </c>
      <c r="B82" s="23" t="s">
        <v>4</v>
      </c>
      <c r="C82" s="5" t="s">
        <v>35</v>
      </c>
      <c r="D82" s="5" t="s">
        <v>56</v>
      </c>
      <c r="E82" s="5" t="s">
        <v>57</v>
      </c>
      <c r="F82" s="23" t="s">
        <v>31</v>
      </c>
      <c r="G82" s="24">
        <v>4.0999999999999996</v>
      </c>
      <c r="H82" s="25">
        <v>360</v>
      </c>
      <c r="I82" s="8">
        <v>14</v>
      </c>
      <c r="J82" s="35">
        <v>5040</v>
      </c>
      <c r="K82" s="54">
        <f t="shared" si="70"/>
        <v>20664</v>
      </c>
      <c r="L82" s="50">
        <f t="shared" si="71"/>
        <v>20944</v>
      </c>
      <c r="M82" s="26">
        <v>401</v>
      </c>
      <c r="N82" s="58">
        <v>401</v>
      </c>
      <c r="O82" s="26">
        <f t="shared" si="72"/>
        <v>0</v>
      </c>
      <c r="P82" s="58">
        <f t="shared" si="73"/>
        <v>75628.529423999993</v>
      </c>
      <c r="Q82" s="65">
        <f t="shared" si="74"/>
        <v>0.1199087804878049</v>
      </c>
      <c r="R82" s="52">
        <v>0.16</v>
      </c>
      <c r="S82" s="53">
        <f>G82*J82*R82*$T$3</f>
        <v>101486.028672</v>
      </c>
      <c r="T82" s="55">
        <f t="shared" si="76"/>
        <v>0</v>
      </c>
      <c r="U82" s="50">
        <f t="shared" si="77"/>
        <v>1609.0858000000001</v>
      </c>
      <c r="V82" s="50">
        <f t="shared" si="78"/>
        <v>37420.6</v>
      </c>
      <c r="W82" s="53">
        <f t="shared" si="79"/>
        <v>1871.03</v>
      </c>
      <c r="X82" s="53">
        <f t="shared" si="80"/>
        <v>9000</v>
      </c>
      <c r="Y82" s="55">
        <f t="shared" si="81"/>
        <v>0</v>
      </c>
      <c r="Z82" s="53">
        <f t="shared" si="82"/>
        <v>4864.6779999999999</v>
      </c>
      <c r="AA82" s="50">
        <f t="shared" si="83"/>
        <v>3854.3218000000002</v>
      </c>
      <c r="AB82" s="67">
        <f t="shared" si="84"/>
        <v>20297.205734400002</v>
      </c>
      <c r="AC82" s="67">
        <f t="shared" si="85"/>
        <v>21920.982193152002</v>
      </c>
      <c r="AD82" s="53">
        <f t="shared" si="86"/>
        <v>500</v>
      </c>
      <c r="AE82" s="53">
        <f t="shared" si="87"/>
        <v>178305.47448609857</v>
      </c>
      <c r="AF82" s="53">
        <f t="shared" si="88"/>
        <v>35.378070334543366</v>
      </c>
      <c r="AG82" s="67">
        <f t="shared" si="89"/>
        <v>36.142816723432254</v>
      </c>
    </row>
    <row r="83" spans="1:33" x14ac:dyDescent="0.2">
      <c r="A83" s="194" t="s">
        <v>130</v>
      </c>
      <c r="B83" s="195" t="s">
        <v>4</v>
      </c>
      <c r="C83" s="196" t="s">
        <v>36</v>
      </c>
      <c r="D83" s="196" t="s">
        <v>56</v>
      </c>
      <c r="E83" s="196" t="s">
        <v>57</v>
      </c>
      <c r="F83" s="195" t="s">
        <v>31</v>
      </c>
      <c r="G83" s="197">
        <v>3.8</v>
      </c>
      <c r="H83" s="198">
        <v>352</v>
      </c>
      <c r="I83" s="199">
        <v>16</v>
      </c>
      <c r="J83" s="200">
        <v>5632</v>
      </c>
      <c r="K83" s="201">
        <f t="shared" si="70"/>
        <v>21401.599999999999</v>
      </c>
      <c r="L83" s="202">
        <f t="shared" si="71"/>
        <v>21721.599999999999</v>
      </c>
      <c r="M83" s="203">
        <v>561</v>
      </c>
      <c r="N83" s="58">
        <v>561</v>
      </c>
      <c r="O83" s="26">
        <f t="shared" si="72"/>
        <v>0</v>
      </c>
      <c r="P83" s="204">
        <f t="shared" si="73"/>
        <v>118232.3315712</v>
      </c>
      <c r="Q83" s="205">
        <f t="shared" si="74"/>
        <v>0.1809963157894737</v>
      </c>
      <c r="R83" s="206">
        <v>0.16</v>
      </c>
      <c r="S83" s="207">
        <f t="shared" si="75"/>
        <v>118901.64411586559</v>
      </c>
      <c r="T83" s="208">
        <f t="shared" si="76"/>
        <v>0</v>
      </c>
      <c r="U83" s="202">
        <f t="shared" si="77"/>
        <v>1609.0858000000001</v>
      </c>
      <c r="V83" s="202">
        <f t="shared" si="78"/>
        <v>37420.6</v>
      </c>
      <c r="W83" s="207">
        <f t="shared" si="79"/>
        <v>1871.03</v>
      </c>
      <c r="X83" s="207">
        <f t="shared" si="80"/>
        <v>9000</v>
      </c>
      <c r="Y83" s="208">
        <f t="shared" si="81"/>
        <v>0</v>
      </c>
      <c r="Z83" s="207">
        <f t="shared" si="82"/>
        <v>4864.6779999999999</v>
      </c>
      <c r="AA83" s="202">
        <f t="shared" si="83"/>
        <v>3854.3218000000002</v>
      </c>
      <c r="AB83" s="209">
        <f t="shared" si="84"/>
        <v>23780.32882317312</v>
      </c>
      <c r="AC83" s="209">
        <f t="shared" si="85"/>
        <v>25682.755129026966</v>
      </c>
      <c r="AD83" s="207">
        <f t="shared" si="86"/>
        <v>500</v>
      </c>
      <c r="AE83" s="207">
        <f t="shared" si="87"/>
        <v>229649.63360310212</v>
      </c>
      <c r="AF83" s="207">
        <f t="shared" si="88"/>
        <v>40.775858239187166</v>
      </c>
      <c r="AG83" s="209">
        <f t="shared" si="89"/>
        <v>41.460219354243982</v>
      </c>
    </row>
    <row r="84" spans="1:33" x14ac:dyDescent="0.2">
      <c r="A84" s="194" t="s">
        <v>131</v>
      </c>
      <c r="B84" s="195" t="s">
        <v>4</v>
      </c>
      <c r="C84" s="196" t="s">
        <v>37</v>
      </c>
      <c r="D84" s="196" t="s">
        <v>56</v>
      </c>
      <c r="E84" s="196" t="s">
        <v>57</v>
      </c>
      <c r="F84" s="195" t="s">
        <v>31</v>
      </c>
      <c r="G84" s="197">
        <v>3.9</v>
      </c>
      <c r="H84" s="198">
        <v>360</v>
      </c>
      <c r="I84" s="199">
        <v>15</v>
      </c>
      <c r="J84" s="200">
        <v>5400</v>
      </c>
      <c r="K84" s="201">
        <f t="shared" si="70"/>
        <v>21060</v>
      </c>
      <c r="L84" s="202">
        <f t="shared" si="71"/>
        <v>21360</v>
      </c>
      <c r="M84" s="203">
        <v>561</v>
      </c>
      <c r="N84" s="58">
        <v>561</v>
      </c>
      <c r="O84" s="26">
        <f t="shared" si="72"/>
        <v>0</v>
      </c>
      <c r="P84" s="204">
        <f t="shared" si="73"/>
        <v>113361.96563999999</v>
      </c>
      <c r="Q84" s="205">
        <f t="shared" si="74"/>
        <v>0.17635538461538464</v>
      </c>
      <c r="R84" s="206">
        <v>0.16</v>
      </c>
      <c r="S84" s="207">
        <f t="shared" si="75"/>
        <v>114003.70707132001</v>
      </c>
      <c r="T84" s="208">
        <f t="shared" si="76"/>
        <v>0</v>
      </c>
      <c r="U84" s="202">
        <f t="shared" si="77"/>
        <v>1609.0858000000001</v>
      </c>
      <c r="V84" s="202">
        <f t="shared" si="78"/>
        <v>37420.6</v>
      </c>
      <c r="W84" s="207">
        <f t="shared" si="79"/>
        <v>1871.03</v>
      </c>
      <c r="X84" s="207">
        <f t="shared" si="80"/>
        <v>9000</v>
      </c>
      <c r="Y84" s="208">
        <f t="shared" si="81"/>
        <v>0</v>
      </c>
      <c r="Z84" s="207">
        <f t="shared" si="82"/>
        <v>4864.6779999999999</v>
      </c>
      <c r="AA84" s="202">
        <f t="shared" si="83"/>
        <v>3854.3218000000002</v>
      </c>
      <c r="AB84" s="209">
        <f t="shared" si="84"/>
        <v>22800.741414264005</v>
      </c>
      <c r="AC84" s="209">
        <f t="shared" si="85"/>
        <v>24624.80072740512</v>
      </c>
      <c r="AD84" s="207">
        <f t="shared" si="86"/>
        <v>500</v>
      </c>
      <c r="AE84" s="207">
        <f t="shared" si="87"/>
        <v>222534.48862911918</v>
      </c>
      <c r="AF84" s="207">
        <f t="shared" si="88"/>
        <v>41.210090486873924</v>
      </c>
      <c r="AG84" s="209">
        <f t="shared" si="89"/>
        <v>41.923853783170223</v>
      </c>
    </row>
    <row r="85" spans="1:33" x14ac:dyDescent="0.2">
      <c r="A85" s="22"/>
      <c r="B85" s="23"/>
      <c r="C85" s="5"/>
      <c r="D85" s="5"/>
      <c r="E85" s="5"/>
      <c r="F85" s="23"/>
      <c r="G85" s="24"/>
      <c r="H85" s="25"/>
      <c r="I85" s="30"/>
      <c r="J85" s="36"/>
      <c r="K85" s="54"/>
      <c r="L85" s="50"/>
      <c r="M85" s="29"/>
      <c r="N85" s="29"/>
      <c r="O85" s="26">
        <f t="shared" si="72"/>
        <v>0</v>
      </c>
      <c r="P85" s="58"/>
      <c r="Q85" s="65"/>
      <c r="R85" s="52"/>
      <c r="S85" s="53"/>
      <c r="T85" s="55"/>
      <c r="U85" s="50"/>
      <c r="V85" s="50"/>
      <c r="W85" s="53"/>
      <c r="X85" s="53"/>
      <c r="Y85" s="55"/>
      <c r="Z85" s="53"/>
      <c r="AA85" s="50"/>
      <c r="AB85" s="67"/>
      <c r="AC85" s="67"/>
      <c r="AD85" s="53"/>
      <c r="AE85" s="53"/>
      <c r="AF85" s="53"/>
      <c r="AG85" s="67"/>
    </row>
    <row r="86" spans="1:33" ht="15" x14ac:dyDescent="0.25">
      <c r="A86" s="15" t="s">
        <v>54</v>
      </c>
      <c r="B86" s="16"/>
      <c r="C86" s="17"/>
      <c r="D86" s="17"/>
      <c r="E86" s="17"/>
      <c r="F86" s="16"/>
      <c r="G86" s="18"/>
      <c r="H86" s="19"/>
      <c r="I86" s="32"/>
      <c r="J86" s="36"/>
      <c r="K86" s="54"/>
      <c r="L86" s="50"/>
      <c r="M86" s="28"/>
      <c r="N86" s="28"/>
      <c r="O86" s="26">
        <f t="shared" si="72"/>
        <v>0</v>
      </c>
      <c r="P86" s="58"/>
      <c r="Q86" s="65"/>
      <c r="R86" s="52"/>
      <c r="S86" s="53"/>
      <c r="T86" s="55"/>
      <c r="U86" s="50"/>
      <c r="V86" s="50"/>
      <c r="W86" s="53"/>
      <c r="X86" s="53"/>
      <c r="Y86" s="55"/>
      <c r="Z86" s="53"/>
      <c r="AA86" s="50"/>
      <c r="AB86" s="67"/>
      <c r="AC86" s="67"/>
      <c r="AD86" s="53"/>
      <c r="AE86" s="53"/>
      <c r="AF86" s="53"/>
      <c r="AG86" s="67"/>
    </row>
    <row r="87" spans="1:33" x14ac:dyDescent="0.2">
      <c r="A87" s="22" t="s">
        <v>132</v>
      </c>
      <c r="B87" s="23" t="s">
        <v>38</v>
      </c>
      <c r="C87" s="5" t="s">
        <v>79</v>
      </c>
      <c r="D87" s="5" t="s">
        <v>56</v>
      </c>
      <c r="E87" s="5" t="s">
        <v>57</v>
      </c>
      <c r="F87" s="23" t="s">
        <v>2</v>
      </c>
      <c r="G87" s="24">
        <v>6.7</v>
      </c>
      <c r="H87" s="25">
        <v>129</v>
      </c>
      <c r="I87" s="8">
        <v>24</v>
      </c>
      <c r="J87" s="35">
        <v>3096</v>
      </c>
      <c r="K87" s="54">
        <f t="shared" si="70"/>
        <v>20743.2</v>
      </c>
      <c r="L87" s="50">
        <f t="shared" si="71"/>
        <v>21223.200000000001</v>
      </c>
      <c r="M87" s="26">
        <v>781</v>
      </c>
      <c r="N87" s="58">
        <v>781</v>
      </c>
      <c r="O87" s="26">
        <f t="shared" si="72"/>
        <v>0</v>
      </c>
      <c r="P87" s="58">
        <f>M87*J87*$T$2/1000</f>
        <v>90482.112705599997</v>
      </c>
      <c r="Q87" s="65">
        <f>M87/1000/G87*$T$1</f>
        <v>0.1429113432835821</v>
      </c>
      <c r="R87" s="52">
        <v>0.16</v>
      </c>
      <c r="S87" s="53">
        <f>G87*J87*Q87*$T$3</f>
        <v>90994.331421892814</v>
      </c>
      <c r="T87" s="55">
        <f>$T$9</f>
        <v>0</v>
      </c>
      <c r="U87" s="50">
        <f>$U$9*$T$2</f>
        <v>1609.0858000000001</v>
      </c>
      <c r="V87" s="50">
        <f>$V$9*$T$2</f>
        <v>37420.6</v>
      </c>
      <c r="W87" s="53">
        <f>$W$9*$T$2</f>
        <v>1871.03</v>
      </c>
      <c r="X87" s="53">
        <f>$X$9</f>
        <v>9000</v>
      </c>
      <c r="Y87" s="55">
        <f>$Y$9</f>
        <v>0</v>
      </c>
      <c r="Z87" s="53">
        <f>$Z$9*$T$2</f>
        <v>4864.6779999999999</v>
      </c>
      <c r="AA87" s="50">
        <f>$AA$9*$T$2*$AE$9</f>
        <v>3854.3218000000002</v>
      </c>
      <c r="AB87" s="67">
        <f>S87*$AB$9</f>
        <v>18198.866284378564</v>
      </c>
      <c r="AC87" s="67">
        <f>(S87+AB87)*$AC$9</f>
        <v>19654.775587128846</v>
      </c>
      <c r="AD87" s="53">
        <f>$AD$9</f>
        <v>500</v>
      </c>
      <c r="AE87" s="53">
        <f>(P87+T87+U87+V87+W87+X87+Y87+Z87+AB87+AC87+AD87)*$AE$9</f>
        <v>189109.18282842066</v>
      </c>
      <c r="AF87" s="53">
        <f>AE87/J87</f>
        <v>61.081777399360675</v>
      </c>
      <c r="AG87" s="67">
        <f>AA87/J87+AF87</f>
        <v>62.326713381272818</v>
      </c>
    </row>
    <row r="88" spans="1:33" x14ac:dyDescent="0.2">
      <c r="A88" s="22"/>
      <c r="B88" s="23"/>
      <c r="C88" s="5"/>
      <c r="D88" s="5"/>
      <c r="E88" s="5"/>
      <c r="F88" s="23"/>
      <c r="G88" s="24"/>
      <c r="H88" s="25"/>
      <c r="I88" s="30"/>
      <c r="J88" s="36"/>
      <c r="K88" s="54"/>
      <c r="L88" s="50"/>
      <c r="M88" s="29"/>
      <c r="N88" s="29"/>
      <c r="O88" s="26">
        <f t="shared" si="72"/>
        <v>0</v>
      </c>
      <c r="P88" s="58"/>
      <c r="Q88" s="65"/>
      <c r="R88" s="52"/>
      <c r="S88" s="53"/>
      <c r="T88" s="55"/>
      <c r="U88" s="50"/>
      <c r="V88" s="50"/>
      <c r="W88" s="53"/>
      <c r="X88" s="53"/>
      <c r="Y88" s="55"/>
      <c r="Z88" s="53"/>
      <c r="AA88" s="50"/>
      <c r="AB88" s="67"/>
      <c r="AC88" s="67"/>
      <c r="AD88" s="53"/>
      <c r="AE88" s="53"/>
      <c r="AF88" s="53"/>
      <c r="AG88" s="67"/>
    </row>
    <row r="89" spans="1:33" x14ac:dyDescent="0.2">
      <c r="A89" s="194" t="s">
        <v>133</v>
      </c>
      <c r="B89" s="195" t="s">
        <v>39</v>
      </c>
      <c r="C89" s="196" t="s">
        <v>72</v>
      </c>
      <c r="D89" s="196" t="s">
        <v>56</v>
      </c>
      <c r="E89" s="196" t="s">
        <v>57</v>
      </c>
      <c r="F89" s="195"/>
      <c r="G89" s="197">
        <v>4.4000000000000004</v>
      </c>
      <c r="H89" s="198">
        <v>336</v>
      </c>
      <c r="I89" s="199">
        <v>14</v>
      </c>
      <c r="J89" s="200">
        <v>4704</v>
      </c>
      <c r="K89" s="201">
        <f t="shared" si="70"/>
        <v>20697.600000000002</v>
      </c>
      <c r="L89" s="202">
        <f t="shared" si="71"/>
        <v>20977.600000000002</v>
      </c>
      <c r="M89" s="203">
        <v>561</v>
      </c>
      <c r="N89" s="58">
        <v>561</v>
      </c>
      <c r="O89" s="26">
        <f t="shared" si="72"/>
        <v>0</v>
      </c>
      <c r="P89" s="204">
        <f>M89*J89*$T$2/1000</f>
        <v>98750.867846400011</v>
      </c>
      <c r="Q89" s="205">
        <f>M89/1000/G89*$T$1</f>
        <v>0.15631500000000001</v>
      </c>
      <c r="R89" s="206">
        <v>0.16</v>
      </c>
      <c r="S89" s="207">
        <f>G89*J89*Q89*$T$3</f>
        <v>99309.895937683221</v>
      </c>
      <c r="T89" s="208">
        <f>$T$9</f>
        <v>0</v>
      </c>
      <c r="U89" s="202">
        <f>$U$9*$T$2</f>
        <v>1609.0858000000001</v>
      </c>
      <c r="V89" s="202">
        <f>$V$9*$T$2</f>
        <v>37420.6</v>
      </c>
      <c r="W89" s="207">
        <f>$W$9*$T$2</f>
        <v>1871.03</v>
      </c>
      <c r="X89" s="207">
        <f>$X$9</f>
        <v>9000</v>
      </c>
      <c r="Y89" s="208">
        <f>$Y$9</f>
        <v>0</v>
      </c>
      <c r="Z89" s="207">
        <f>$Z$9*$T$2</f>
        <v>4864.6779999999999</v>
      </c>
      <c r="AA89" s="202">
        <f>$AA$9*$T$2*$AE$9</f>
        <v>3854.3218000000002</v>
      </c>
      <c r="AB89" s="209">
        <f>S89*$AB$9</f>
        <v>19861.979187536646</v>
      </c>
      <c r="AC89" s="209">
        <f>(S89+AB89)*$AC$9</f>
        <v>21450.937522539574</v>
      </c>
      <c r="AD89" s="207">
        <f>$AD$9</f>
        <v>500</v>
      </c>
      <c r="AE89" s="207">
        <f>(P89+T89+U89+V89+W89+X89+Y89+Z89+AB89+AC89+AD89)*$AE$9</f>
        <v>201189.05370717053</v>
      </c>
      <c r="AF89" s="207">
        <f>AE89/J89</f>
        <v>42.769781825503941</v>
      </c>
      <c r="AG89" s="209">
        <f>AA89/J89+AF89</f>
        <v>43.589152956456324</v>
      </c>
    </row>
    <row r="90" spans="1:33" x14ac:dyDescent="0.2">
      <c r="A90" s="22"/>
      <c r="B90" s="23"/>
      <c r="C90" s="5"/>
      <c r="D90" s="5"/>
      <c r="E90" s="5"/>
      <c r="F90" s="23"/>
      <c r="G90" s="24"/>
      <c r="H90" s="25"/>
      <c r="I90" s="30"/>
      <c r="J90" s="36"/>
      <c r="K90" s="54"/>
      <c r="L90" s="50"/>
      <c r="M90" s="29"/>
      <c r="N90" s="229"/>
      <c r="O90" s="26">
        <f t="shared" si="72"/>
        <v>0</v>
      </c>
      <c r="P90" s="58"/>
      <c r="Q90" s="65"/>
      <c r="R90" s="52"/>
      <c r="S90" s="53"/>
      <c r="T90" s="55"/>
      <c r="U90" s="50"/>
      <c r="V90" s="50"/>
      <c r="W90" s="53"/>
      <c r="X90" s="53"/>
      <c r="Y90" s="55"/>
      <c r="Z90" s="53"/>
      <c r="AA90" s="50"/>
      <c r="AB90" s="67"/>
      <c r="AC90" s="67"/>
      <c r="AD90" s="53"/>
      <c r="AE90" s="53"/>
      <c r="AF90" s="53"/>
      <c r="AG90" s="67"/>
    </row>
    <row r="91" spans="1:33" x14ac:dyDescent="0.2">
      <c r="A91" s="194" t="s">
        <v>134</v>
      </c>
      <c r="B91" s="195" t="s">
        <v>40</v>
      </c>
      <c r="C91" s="196" t="s">
        <v>73</v>
      </c>
      <c r="D91" s="196" t="s">
        <v>56</v>
      </c>
      <c r="E91" s="196" t="s">
        <v>57</v>
      </c>
      <c r="F91" s="195"/>
      <c r="G91" s="197">
        <v>2.8</v>
      </c>
      <c r="H91" s="198">
        <v>448</v>
      </c>
      <c r="I91" s="199">
        <v>17</v>
      </c>
      <c r="J91" s="200">
        <v>7616</v>
      </c>
      <c r="K91" s="201">
        <f t="shared" si="70"/>
        <v>21324.799999999999</v>
      </c>
      <c r="L91" s="202">
        <f t="shared" si="71"/>
        <v>21664.799999999999</v>
      </c>
      <c r="M91" s="203">
        <v>398</v>
      </c>
      <c r="N91" s="58">
        <v>398</v>
      </c>
      <c r="O91" s="26">
        <f t="shared" si="72"/>
        <v>0</v>
      </c>
      <c r="P91" s="204">
        <f>M91*J91*$T$2/1000</f>
        <v>113428.12526080001</v>
      </c>
      <c r="Q91" s="205">
        <f>M91/1000/G91*$T$1</f>
        <v>0.17426714285714287</v>
      </c>
      <c r="R91" s="206">
        <v>0.16</v>
      </c>
      <c r="S91" s="207">
        <f>G91*J91*R91*$T$3</f>
        <v>104731.3813504</v>
      </c>
      <c r="T91" s="208">
        <f>$T$9</f>
        <v>0</v>
      </c>
      <c r="U91" s="202">
        <f>$U$9*$T$2</f>
        <v>1609.0858000000001</v>
      </c>
      <c r="V91" s="202">
        <f>$V$9*$T$2</f>
        <v>37420.6</v>
      </c>
      <c r="W91" s="207">
        <f>$W$9*$T$2</f>
        <v>1871.03</v>
      </c>
      <c r="X91" s="207">
        <f>$X$9</f>
        <v>9000</v>
      </c>
      <c r="Y91" s="208">
        <f>$Y$9</f>
        <v>0</v>
      </c>
      <c r="Z91" s="207">
        <f>$Z$9*$T$2</f>
        <v>4864.6779999999999</v>
      </c>
      <c r="AA91" s="202">
        <f>$AA$9*$T$2*$AE$9</f>
        <v>3854.3218000000002</v>
      </c>
      <c r="AB91" s="209">
        <f>S91*$AB$9</f>
        <v>20946.276270080001</v>
      </c>
      <c r="AC91" s="209">
        <f>(S91+AB91)*$AC$9</f>
        <v>22621.978371686397</v>
      </c>
      <c r="AD91" s="207">
        <f>$AD$9</f>
        <v>500</v>
      </c>
      <c r="AE91" s="207">
        <f>(P91+T91+U91+V91+W91+X91+Y91+Z91+AB91+AC91+AD91)*$AE$9</f>
        <v>218629.62691364341</v>
      </c>
      <c r="AF91" s="207">
        <f>AE91/J91</f>
        <v>28.706621180888053</v>
      </c>
      <c r="AG91" s="209">
        <f>AA91/J91+AF91</f>
        <v>29.2127033500057</v>
      </c>
    </row>
    <row r="92" spans="1:33" x14ac:dyDescent="0.2">
      <c r="A92" s="194" t="s">
        <v>135</v>
      </c>
      <c r="B92" s="195" t="s">
        <v>41</v>
      </c>
      <c r="C92" s="196" t="s">
        <v>74</v>
      </c>
      <c r="D92" s="196" t="s">
        <v>56</v>
      </c>
      <c r="E92" s="196" t="s">
        <v>57</v>
      </c>
      <c r="F92" s="195"/>
      <c r="G92" s="197">
        <v>4.0999999999999996</v>
      </c>
      <c r="H92" s="198">
        <v>252</v>
      </c>
      <c r="I92" s="199">
        <v>20</v>
      </c>
      <c r="J92" s="200">
        <v>5040</v>
      </c>
      <c r="K92" s="201">
        <f t="shared" si="70"/>
        <v>20664</v>
      </c>
      <c r="L92" s="202">
        <f t="shared" si="71"/>
        <v>21064</v>
      </c>
      <c r="M92" s="203">
        <v>572</v>
      </c>
      <c r="N92" s="58">
        <v>572</v>
      </c>
      <c r="O92" s="26">
        <f t="shared" si="72"/>
        <v>0</v>
      </c>
      <c r="P92" s="204">
        <f>M92*J92*$T$2/1000</f>
        <v>107879.099328</v>
      </c>
      <c r="Q92" s="205">
        <f>M92/1000/G92*$T$1</f>
        <v>0.17104195121951221</v>
      </c>
      <c r="R92" s="206">
        <v>0.16</v>
      </c>
      <c r="S92" s="207">
        <f>G92*J92*R92*$T$3</f>
        <v>101486.028672</v>
      </c>
      <c r="T92" s="208">
        <f>$T$9</f>
        <v>0</v>
      </c>
      <c r="U92" s="202">
        <f>$U$9*$T$2</f>
        <v>1609.0858000000001</v>
      </c>
      <c r="V92" s="202">
        <f>$V$9*$T$2</f>
        <v>37420.6</v>
      </c>
      <c r="W92" s="207">
        <f>$W$9*$T$2</f>
        <v>1871.03</v>
      </c>
      <c r="X92" s="207">
        <f>$X$9</f>
        <v>9000</v>
      </c>
      <c r="Y92" s="208">
        <f>$Y$9</f>
        <v>0</v>
      </c>
      <c r="Z92" s="207">
        <f>$Z$9*$T$2</f>
        <v>4864.6779999999999</v>
      </c>
      <c r="AA92" s="202">
        <f>$AA$9*$T$2*$AE$9</f>
        <v>3854.3218000000002</v>
      </c>
      <c r="AB92" s="209">
        <f>S92*$AB$9</f>
        <v>20297.205734400002</v>
      </c>
      <c r="AC92" s="209">
        <f>(S92+AB92)*$AC$9</f>
        <v>21920.982193152002</v>
      </c>
      <c r="AD92" s="207">
        <f>$AD$9</f>
        <v>500</v>
      </c>
      <c r="AE92" s="207">
        <f>(P92+T92+U92+V92+W92+X92+Y92+Z92+AB92+AC92+AD92)*$AE$9</f>
        <v>211523.56148721857</v>
      </c>
      <c r="AF92" s="207">
        <f>AE92/J92</f>
        <v>41.96896061254337</v>
      </c>
      <c r="AG92" s="209">
        <f>AA92/J92+AF92</f>
        <v>42.733707001432258</v>
      </c>
    </row>
    <row r="93" spans="1:33" x14ac:dyDescent="0.2">
      <c r="A93" s="22"/>
      <c r="B93" s="23"/>
      <c r="C93" s="5"/>
      <c r="D93" s="5"/>
      <c r="E93" s="5"/>
      <c r="F93" s="23"/>
      <c r="G93" s="24"/>
      <c r="H93" s="25"/>
      <c r="I93" s="30"/>
      <c r="J93" s="36"/>
      <c r="K93" s="54"/>
      <c r="L93" s="50"/>
      <c r="M93" s="29"/>
      <c r="N93" s="29"/>
      <c r="O93" s="26">
        <f t="shared" si="72"/>
        <v>0</v>
      </c>
      <c r="P93" s="58"/>
      <c r="Q93" s="65"/>
      <c r="R93" s="52"/>
      <c r="S93" s="53"/>
      <c r="T93" s="55"/>
      <c r="U93" s="50"/>
      <c r="V93" s="50"/>
      <c r="W93" s="53"/>
      <c r="X93" s="53"/>
      <c r="Y93" s="55"/>
      <c r="Z93" s="53"/>
      <c r="AA93" s="50"/>
      <c r="AB93" s="67"/>
      <c r="AC93" s="67"/>
      <c r="AD93" s="53"/>
      <c r="AE93" s="53"/>
      <c r="AF93" s="53"/>
      <c r="AG93" s="67"/>
    </row>
    <row r="94" spans="1:33" ht="15" x14ac:dyDescent="0.25">
      <c r="A94" s="15" t="s">
        <v>55</v>
      </c>
      <c r="B94" s="16"/>
      <c r="C94" s="17"/>
      <c r="D94" s="17"/>
      <c r="E94" s="17"/>
      <c r="F94" s="16"/>
      <c r="G94" s="18"/>
      <c r="H94" s="19"/>
      <c r="I94" s="32"/>
      <c r="J94" s="36"/>
      <c r="K94" s="54"/>
      <c r="L94" s="50"/>
      <c r="M94" s="28"/>
      <c r="N94" s="28"/>
      <c r="O94" s="26">
        <f t="shared" si="72"/>
        <v>0</v>
      </c>
      <c r="P94" s="58"/>
      <c r="Q94" s="65"/>
      <c r="R94" s="52"/>
      <c r="S94" s="53"/>
      <c r="T94" s="55"/>
      <c r="U94" s="50"/>
      <c r="V94" s="50"/>
      <c r="W94" s="53"/>
      <c r="X94" s="53"/>
      <c r="Y94" s="55"/>
      <c r="Z94" s="53"/>
      <c r="AA94" s="50"/>
      <c r="AB94" s="67"/>
      <c r="AC94" s="67"/>
      <c r="AD94" s="53"/>
      <c r="AE94" s="53"/>
      <c r="AF94" s="53"/>
      <c r="AG94" s="67"/>
    </row>
    <row r="95" spans="1:33" x14ac:dyDescent="0.2">
      <c r="A95" s="194" t="s">
        <v>136</v>
      </c>
      <c r="B95" s="195" t="s">
        <v>42</v>
      </c>
      <c r="C95" s="196" t="s">
        <v>75</v>
      </c>
      <c r="D95" s="196" t="s">
        <v>65</v>
      </c>
      <c r="E95" s="196" t="s">
        <v>63</v>
      </c>
      <c r="F95" s="195" t="s">
        <v>43</v>
      </c>
      <c r="G95" s="197">
        <v>2.9</v>
      </c>
      <c r="H95" s="198">
        <v>525</v>
      </c>
      <c r="I95" s="199">
        <v>14</v>
      </c>
      <c r="J95" s="200">
        <v>7350</v>
      </c>
      <c r="K95" s="201">
        <f t="shared" si="70"/>
        <v>21315</v>
      </c>
      <c r="L95" s="202">
        <f t="shared" si="71"/>
        <v>21595</v>
      </c>
      <c r="M95" s="203">
        <v>363</v>
      </c>
      <c r="N95" s="58">
        <v>363</v>
      </c>
      <c r="O95" s="26">
        <f t="shared" si="72"/>
        <v>0</v>
      </c>
      <c r="P95" s="204">
        <f>M95*J95*$T$2/1000</f>
        <v>99840.031829999993</v>
      </c>
      <c r="Q95" s="205">
        <f>M95/1000/G95*$T$1</f>
        <v>0.15346137931034484</v>
      </c>
      <c r="R95" s="206">
        <v>0.16</v>
      </c>
      <c r="S95" s="207">
        <f>G95*J95*Q95*$T$3</f>
        <v>100405.22567229001</v>
      </c>
      <c r="T95" s="208">
        <f>$T$9</f>
        <v>0</v>
      </c>
      <c r="U95" s="202">
        <f>$U$9*$T$2</f>
        <v>1609.0858000000001</v>
      </c>
      <c r="V95" s="202">
        <f>$V$9*$T$2</f>
        <v>37420.6</v>
      </c>
      <c r="W95" s="207">
        <f>$W$9*$T$2</f>
        <v>1871.03</v>
      </c>
      <c r="X95" s="207">
        <f>$X$9</f>
        <v>9000</v>
      </c>
      <c r="Y95" s="208">
        <f>$Y$9</f>
        <v>0</v>
      </c>
      <c r="Z95" s="207">
        <f>$Z$9*$T$2</f>
        <v>4864.6779999999999</v>
      </c>
      <c r="AA95" s="202">
        <f>$AA$9*$T$2*$AE$9</f>
        <v>3854.3218000000002</v>
      </c>
      <c r="AB95" s="209">
        <f>S95*$AB$9</f>
        <v>20081.045134458003</v>
      </c>
      <c r="AC95" s="209">
        <f>(S95+AB95)*$AC$9</f>
        <v>21687.52874521464</v>
      </c>
      <c r="AD95" s="207">
        <f>$AD$9</f>
        <v>500</v>
      </c>
      <c r="AE95" s="207">
        <f>(P95+T95+U95+V95+W95+X95+Y95+Z95+AB95+AC95+AD95)*$AE$9</f>
        <v>202780.21949496283</v>
      </c>
      <c r="AF95" s="207">
        <f>AE95/J95</f>
        <v>27.589145509518751</v>
      </c>
      <c r="AG95" s="209">
        <f>AA95/J95+AF95</f>
        <v>28.113543033328273</v>
      </c>
    </row>
    <row r="96" spans="1:33" x14ac:dyDescent="0.2">
      <c r="A96" s="194" t="s">
        <v>137</v>
      </c>
      <c r="B96" s="195" t="s">
        <v>42</v>
      </c>
      <c r="C96" s="196" t="s">
        <v>76</v>
      </c>
      <c r="D96" s="196" t="s">
        <v>65</v>
      </c>
      <c r="E96" s="196" t="s">
        <v>63</v>
      </c>
      <c r="F96" s="195" t="s">
        <v>43</v>
      </c>
      <c r="G96" s="197">
        <v>2.9</v>
      </c>
      <c r="H96" s="198">
        <v>525</v>
      </c>
      <c r="I96" s="199">
        <v>14</v>
      </c>
      <c r="J96" s="200">
        <v>7350</v>
      </c>
      <c r="K96" s="201">
        <f t="shared" si="70"/>
        <v>21315</v>
      </c>
      <c r="L96" s="202">
        <f t="shared" si="71"/>
        <v>21595</v>
      </c>
      <c r="M96" s="203">
        <v>388</v>
      </c>
      <c r="N96" s="58">
        <v>388</v>
      </c>
      <c r="O96" s="26">
        <f t="shared" si="72"/>
        <v>0</v>
      </c>
      <c r="P96" s="204">
        <f>M96*J96*$T$2/1000</f>
        <v>106716.06707999999</v>
      </c>
      <c r="Q96" s="205">
        <f>M96/1000/G96*$T$1</f>
        <v>0.16403034482758619</v>
      </c>
      <c r="R96" s="206">
        <v>0.16</v>
      </c>
      <c r="S96" s="207">
        <f>G96*J96*Q96*$T$3</f>
        <v>107320.18611803999</v>
      </c>
      <c r="T96" s="208">
        <f>$T$9</f>
        <v>0</v>
      </c>
      <c r="U96" s="202">
        <f>$U$9*$T$2</f>
        <v>1609.0858000000001</v>
      </c>
      <c r="V96" s="202">
        <f>$V$9*$T$2</f>
        <v>37420.6</v>
      </c>
      <c r="W96" s="207">
        <f>$W$9*$T$2</f>
        <v>1871.03</v>
      </c>
      <c r="X96" s="207">
        <f>$X$9</f>
        <v>9000</v>
      </c>
      <c r="Y96" s="208">
        <f>$Y$9</f>
        <v>0</v>
      </c>
      <c r="Z96" s="207">
        <f>$Z$9*$T$2</f>
        <v>4864.6779999999999</v>
      </c>
      <c r="AA96" s="202">
        <f>$AA$9*$T$2*$AE$9</f>
        <v>3854.3218000000002</v>
      </c>
      <c r="AB96" s="209">
        <f>S96*$AB$9</f>
        <v>21464.037223608</v>
      </c>
      <c r="AC96" s="209">
        <f>(S96+AB96)*$AC$9</f>
        <v>23181.160201496637</v>
      </c>
      <c r="AD96" s="207">
        <f>$AD$9</f>
        <v>500</v>
      </c>
      <c r="AE96" s="207">
        <f>(P96+T96+U96+V96+W96+X96+Y96+Z96+AB96+AC96+AD96)*$AE$9</f>
        <v>212825.45805425776</v>
      </c>
      <c r="AF96" s="207">
        <f>AE96/J96</f>
        <v>28.955844633232349</v>
      </c>
      <c r="AG96" s="209">
        <f>AA96/J96+AF96</f>
        <v>29.480242157041872</v>
      </c>
    </row>
    <row r="97" spans="1:33" x14ac:dyDescent="0.2">
      <c r="A97" s="194" t="s">
        <v>138</v>
      </c>
      <c r="B97" s="195" t="s">
        <v>44</v>
      </c>
      <c r="C97" s="196" t="s">
        <v>77</v>
      </c>
      <c r="D97" s="196" t="s">
        <v>65</v>
      </c>
      <c r="E97" s="196" t="s">
        <v>63</v>
      </c>
      <c r="F97" s="195"/>
      <c r="G97" s="197">
        <v>0.52</v>
      </c>
      <c r="H97" s="198">
        <v>2560</v>
      </c>
      <c r="I97" s="199">
        <v>16</v>
      </c>
      <c r="J97" s="200">
        <v>40960</v>
      </c>
      <c r="K97" s="201">
        <f t="shared" si="70"/>
        <v>21299.200000000001</v>
      </c>
      <c r="L97" s="202">
        <f t="shared" si="71"/>
        <v>21619.200000000001</v>
      </c>
      <c r="M97" s="203">
        <v>72</v>
      </c>
      <c r="N97" s="58">
        <v>72</v>
      </c>
      <c r="O97" s="26">
        <f t="shared" si="72"/>
        <v>0</v>
      </c>
      <c r="P97" s="204">
        <f>M97*J97*$T$2/1000</f>
        <v>110357.839872</v>
      </c>
      <c r="Q97" s="205">
        <f>M97/1000/G97*$T$1</f>
        <v>0.16975384615384612</v>
      </c>
      <c r="R97" s="206">
        <v>0.16</v>
      </c>
      <c r="S97" s="207">
        <f>G97*J97*Q97*$T$3</f>
        <v>110982.57496473598</v>
      </c>
      <c r="T97" s="208">
        <f>$T$9</f>
        <v>0</v>
      </c>
      <c r="U97" s="202">
        <f>$U$9*$T$2</f>
        <v>1609.0858000000001</v>
      </c>
      <c r="V97" s="202">
        <f>$V$9*$T$2</f>
        <v>37420.6</v>
      </c>
      <c r="W97" s="207">
        <f>$W$9*$T$2</f>
        <v>1871.03</v>
      </c>
      <c r="X97" s="207">
        <f>$X$9</f>
        <v>9000</v>
      </c>
      <c r="Y97" s="208">
        <f>$Y$9</f>
        <v>0</v>
      </c>
      <c r="Z97" s="207">
        <f>$Z$9*$T$2</f>
        <v>4864.6779999999999</v>
      </c>
      <c r="AA97" s="202">
        <f>$AA$9*$T$2*$AE$9</f>
        <v>3854.3218000000002</v>
      </c>
      <c r="AB97" s="209">
        <f>S97*$AB$9</f>
        <v>22196.514992947195</v>
      </c>
      <c r="AC97" s="209">
        <f>(S97+AB97)*$AC$9</f>
        <v>23972.23619238297</v>
      </c>
      <c r="AD97" s="207">
        <f>$AD$9</f>
        <v>500</v>
      </c>
      <c r="AE97" s="207">
        <f>(P97+T97+U97+V97+W97+X97+Y97+Z97+AB97+AC97+AD97)*$AE$9</f>
        <v>218145.74440305008</v>
      </c>
      <c r="AF97" s="207">
        <f>AE97/J97</f>
        <v>5.32582383796509</v>
      </c>
      <c r="AG97" s="209">
        <f>AA97/J97+AF97</f>
        <v>5.4199234912854024</v>
      </c>
    </row>
    <row r="98" spans="1:33" x14ac:dyDescent="0.2">
      <c r="A98" s="194" t="s">
        <v>139</v>
      </c>
      <c r="B98" s="195" t="s">
        <v>42</v>
      </c>
      <c r="C98" s="196" t="s">
        <v>75</v>
      </c>
      <c r="D98" s="196" t="s">
        <v>59</v>
      </c>
      <c r="E98" s="196" t="s">
        <v>63</v>
      </c>
      <c r="F98" s="195" t="s">
        <v>43</v>
      </c>
      <c r="G98" s="197">
        <v>2.9</v>
      </c>
      <c r="H98" s="198">
        <v>525</v>
      </c>
      <c r="I98" s="199">
        <v>14</v>
      </c>
      <c r="J98" s="200">
        <v>7350</v>
      </c>
      <c r="K98" s="201">
        <f t="shared" si="70"/>
        <v>21315</v>
      </c>
      <c r="L98" s="202">
        <f t="shared" si="71"/>
        <v>21595</v>
      </c>
      <c r="M98" s="203">
        <v>408</v>
      </c>
      <c r="N98" s="58">
        <v>408</v>
      </c>
      <c r="O98" s="26">
        <f t="shared" si="72"/>
        <v>0</v>
      </c>
      <c r="P98" s="204">
        <f>M98*J98*$T$2/1000</f>
        <v>112216.89528</v>
      </c>
      <c r="Q98" s="205">
        <f>M98/1000/G98*$T$1</f>
        <v>0.17248551724137928</v>
      </c>
      <c r="R98" s="206">
        <v>0.16</v>
      </c>
      <c r="S98" s="207">
        <f>G98*J98*Q98*$T$3</f>
        <v>112852.15447463999</v>
      </c>
      <c r="T98" s="208">
        <f>$T$9</f>
        <v>0</v>
      </c>
      <c r="U98" s="202">
        <f>$U$9*$T$2</f>
        <v>1609.0858000000001</v>
      </c>
      <c r="V98" s="202">
        <f>$V$9*$T$2</f>
        <v>37420.6</v>
      </c>
      <c r="W98" s="207">
        <f>$W$9*$T$2</f>
        <v>1871.03</v>
      </c>
      <c r="X98" s="207">
        <f>$X$9</f>
        <v>9000</v>
      </c>
      <c r="Y98" s="208">
        <f>$Y$9</f>
        <v>0</v>
      </c>
      <c r="Z98" s="207">
        <f>$Z$9*$T$2</f>
        <v>4864.6779999999999</v>
      </c>
      <c r="AA98" s="202">
        <f>$AA$9*$T$2*$AE$9</f>
        <v>3854.3218000000002</v>
      </c>
      <c r="AB98" s="209">
        <f>S98*$AB$9</f>
        <v>22570.430894927998</v>
      </c>
      <c r="AC98" s="209">
        <f>(S98+AB98)*$AC$9</f>
        <v>24376.065366522238</v>
      </c>
      <c r="AD98" s="207">
        <f>$AD$9</f>
        <v>500</v>
      </c>
      <c r="AE98" s="207">
        <f>(P98+T98+U98+V98+W98+X98+Y98+Z98+AB98+AC98+AD98)*$AE$9</f>
        <v>220861.64890169376</v>
      </c>
      <c r="AF98" s="207">
        <f>AE98/J98</f>
        <v>30.04920393220323</v>
      </c>
      <c r="AG98" s="209">
        <f>AA98/J98+AF98</f>
        <v>30.573601456012753</v>
      </c>
    </row>
    <row r="99" spans="1:33" x14ac:dyDescent="0.2">
      <c r="A99" s="194" t="s">
        <v>140</v>
      </c>
      <c r="B99" s="195" t="s">
        <v>42</v>
      </c>
      <c r="C99" s="196" t="s">
        <v>76</v>
      </c>
      <c r="D99" s="196" t="s">
        <v>59</v>
      </c>
      <c r="E99" s="196" t="s">
        <v>63</v>
      </c>
      <c r="F99" s="195" t="s">
        <v>43</v>
      </c>
      <c r="G99" s="197">
        <v>2.9</v>
      </c>
      <c r="H99" s="198">
        <v>525</v>
      </c>
      <c r="I99" s="199">
        <v>14</v>
      </c>
      <c r="J99" s="200">
        <v>7350</v>
      </c>
      <c r="K99" s="201">
        <f t="shared" si="70"/>
        <v>21315</v>
      </c>
      <c r="L99" s="202">
        <f t="shared" si="71"/>
        <v>21595</v>
      </c>
      <c r="M99" s="203">
        <v>439</v>
      </c>
      <c r="N99" s="58">
        <v>439</v>
      </c>
      <c r="O99" s="26">
        <f t="shared" si="72"/>
        <v>0</v>
      </c>
      <c r="P99" s="204">
        <f>M99*J99*$T$2/1000</f>
        <v>120743.17899</v>
      </c>
      <c r="Q99" s="205">
        <f>M99/1000/G99*$T$1</f>
        <v>0.18559103448275863</v>
      </c>
      <c r="R99" s="206">
        <v>0.16</v>
      </c>
      <c r="S99" s="207">
        <f>G99*J99*Q99*$T$3</f>
        <v>121426.70542737001</v>
      </c>
      <c r="T99" s="208">
        <f>$T$9</f>
        <v>0</v>
      </c>
      <c r="U99" s="202">
        <f>$U$9*$T$2</f>
        <v>1609.0858000000001</v>
      </c>
      <c r="V99" s="202">
        <f>$V$9*$T$2</f>
        <v>37420.6</v>
      </c>
      <c r="W99" s="207">
        <f>$W$9*$T$2</f>
        <v>1871.03</v>
      </c>
      <c r="X99" s="207">
        <f>$X$9</f>
        <v>9000</v>
      </c>
      <c r="Y99" s="208">
        <f>$Y$9</f>
        <v>0</v>
      </c>
      <c r="Z99" s="207">
        <f>$Z$9*$T$2</f>
        <v>4864.6779999999999</v>
      </c>
      <c r="AA99" s="202">
        <f>$AA$9*$T$2*$AE$9</f>
        <v>3854.3218000000002</v>
      </c>
      <c r="AB99" s="209">
        <f>S99*$AB$9</f>
        <v>24285.341085474003</v>
      </c>
      <c r="AC99" s="209">
        <f>(S99+AB99)*$AC$9</f>
        <v>26228.16837231192</v>
      </c>
      <c r="AD99" s="207">
        <f>$AD$9</f>
        <v>500</v>
      </c>
      <c r="AE99" s="207">
        <f>(P99+T99+U99+V99+W99+X99+Y99+Z99+AB99+AC99+AD99)*$AE$9</f>
        <v>233317.74471521951</v>
      </c>
      <c r="AF99" s="207">
        <f>AE99/J99</f>
        <v>31.743910845608095</v>
      </c>
      <c r="AG99" s="209">
        <f>AA99/J99+AF99</f>
        <v>32.268308369417618</v>
      </c>
    </row>
    <row r="100" spans="1:33" x14ac:dyDescent="0.2">
      <c r="A100" s="22"/>
      <c r="B100" s="23"/>
      <c r="C100" s="5"/>
      <c r="D100" s="5"/>
      <c r="E100" s="5"/>
      <c r="F100" s="23"/>
      <c r="G100" s="24"/>
      <c r="H100" s="25"/>
      <c r="I100" s="8"/>
      <c r="J100" s="35"/>
      <c r="K100" s="54"/>
      <c r="L100" s="50"/>
      <c r="M100" s="29"/>
      <c r="N100" s="29"/>
      <c r="O100" s="29"/>
      <c r="P100" s="58"/>
      <c r="Q100" s="65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  <c r="AE100" s="64"/>
      <c r="AF100" s="64"/>
      <c r="AG100" s="64"/>
    </row>
    <row r="101" spans="1:33" ht="15" hidden="1" x14ac:dyDescent="0.25">
      <c r="A101" s="15" t="s">
        <v>165</v>
      </c>
      <c r="B101" s="16"/>
      <c r="C101" s="17"/>
      <c r="D101" s="17"/>
      <c r="E101" s="17"/>
      <c r="F101" s="16"/>
      <c r="G101" s="18"/>
      <c r="H101" s="19"/>
      <c r="I101" s="32"/>
      <c r="J101" s="36"/>
      <c r="K101" s="54"/>
      <c r="L101" s="50"/>
      <c r="M101" s="28"/>
      <c r="N101" s="28"/>
      <c r="O101" s="28"/>
      <c r="P101" s="58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  <c r="AD101" s="64"/>
      <c r="AE101" s="64"/>
      <c r="AF101" s="64"/>
      <c r="AG101" s="64"/>
    </row>
    <row r="102" spans="1:33" hidden="1" x14ac:dyDescent="0.2">
      <c r="A102" s="22" t="s">
        <v>147</v>
      </c>
      <c r="B102" s="23" t="s">
        <v>148</v>
      </c>
      <c r="C102" s="5" t="s">
        <v>149</v>
      </c>
      <c r="D102" s="5" t="s">
        <v>56</v>
      </c>
      <c r="E102" s="5" t="s">
        <v>63</v>
      </c>
      <c r="F102" s="23" t="s">
        <v>150</v>
      </c>
      <c r="G102" s="33">
        <v>18.5</v>
      </c>
      <c r="H102" s="34">
        <v>45</v>
      </c>
      <c r="I102" s="8">
        <v>24</v>
      </c>
      <c r="J102" s="35">
        <v>1080</v>
      </c>
      <c r="K102" s="54">
        <f t="shared" si="70"/>
        <v>19980</v>
      </c>
      <c r="L102" s="50">
        <f t="shared" si="71"/>
        <v>20460</v>
      </c>
      <c r="M102" s="26">
        <v>1180</v>
      </c>
      <c r="N102" s="26"/>
      <c r="O102" s="26"/>
      <c r="P102" s="58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64"/>
      <c r="AE102" s="64"/>
      <c r="AF102" s="64"/>
      <c r="AG102" s="64"/>
    </row>
    <row r="103" spans="1:33" hidden="1" x14ac:dyDescent="0.2">
      <c r="A103" s="22" t="s">
        <v>173</v>
      </c>
      <c r="B103" s="23" t="s">
        <v>174</v>
      </c>
      <c r="C103" s="5" t="s">
        <v>175</v>
      </c>
      <c r="D103" s="5" t="s">
        <v>56</v>
      </c>
      <c r="E103" s="5" t="s">
        <v>63</v>
      </c>
      <c r="F103" s="23" t="s">
        <v>176</v>
      </c>
      <c r="G103" s="33">
        <v>23.5</v>
      </c>
      <c r="H103" s="34">
        <v>30</v>
      </c>
      <c r="I103" s="8">
        <v>27</v>
      </c>
      <c r="J103" s="35">
        <v>810</v>
      </c>
      <c r="K103" s="54">
        <f t="shared" si="70"/>
        <v>19035</v>
      </c>
      <c r="L103" s="50">
        <f t="shared" si="71"/>
        <v>19575</v>
      </c>
      <c r="M103" s="26">
        <v>1117</v>
      </c>
      <c r="N103" s="26"/>
      <c r="O103" s="26"/>
      <c r="P103" s="58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  <c r="AC103" s="64"/>
      <c r="AD103" s="64"/>
      <c r="AE103" s="64"/>
      <c r="AF103" s="64"/>
      <c r="AG103" s="64"/>
    </row>
    <row r="104" spans="1:33" hidden="1" x14ac:dyDescent="0.2">
      <c r="A104" s="22" t="s">
        <v>151</v>
      </c>
      <c r="B104" s="23" t="s">
        <v>152</v>
      </c>
      <c r="C104" s="5" t="s">
        <v>153</v>
      </c>
      <c r="D104" s="5" t="s">
        <v>56</v>
      </c>
      <c r="E104" s="5" t="s">
        <v>63</v>
      </c>
      <c r="F104" s="23" t="s">
        <v>150</v>
      </c>
      <c r="G104" s="33">
        <v>12</v>
      </c>
      <c r="H104" s="34">
        <v>81</v>
      </c>
      <c r="I104" s="8">
        <v>22</v>
      </c>
      <c r="J104" s="35">
        <v>1782</v>
      </c>
      <c r="K104" s="54">
        <f t="shared" si="70"/>
        <v>21384</v>
      </c>
      <c r="L104" s="50">
        <f t="shared" si="71"/>
        <v>21824</v>
      </c>
      <c r="M104" s="26">
        <v>946</v>
      </c>
      <c r="N104" s="26"/>
      <c r="O104" s="26"/>
      <c r="P104" s="58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  <c r="AC104" s="64"/>
      <c r="AD104" s="64"/>
      <c r="AE104" s="64"/>
      <c r="AF104" s="64"/>
      <c r="AG104" s="64"/>
    </row>
    <row r="105" spans="1:33" hidden="1" x14ac:dyDescent="0.2">
      <c r="A105" s="22" t="s">
        <v>154</v>
      </c>
      <c r="B105" s="23" t="s">
        <v>155</v>
      </c>
      <c r="C105" s="5" t="s">
        <v>156</v>
      </c>
      <c r="D105" s="5" t="s">
        <v>56</v>
      </c>
      <c r="E105" s="5" t="s">
        <v>63</v>
      </c>
      <c r="F105" s="23" t="s">
        <v>150</v>
      </c>
      <c r="G105" s="33">
        <v>15</v>
      </c>
      <c r="H105" s="34">
        <v>63</v>
      </c>
      <c r="I105" s="8">
        <v>22</v>
      </c>
      <c r="J105" s="35">
        <v>1386</v>
      </c>
      <c r="K105" s="54">
        <f t="shared" si="70"/>
        <v>20790</v>
      </c>
      <c r="L105" s="50">
        <f t="shared" si="71"/>
        <v>21230</v>
      </c>
      <c r="M105" s="26">
        <v>1497</v>
      </c>
      <c r="N105" s="26"/>
      <c r="O105" s="26"/>
      <c r="P105" s="58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  <c r="AC105" s="64"/>
      <c r="AD105" s="64"/>
      <c r="AE105" s="64"/>
      <c r="AF105" s="64"/>
      <c r="AG105" s="64"/>
    </row>
    <row r="106" spans="1:33" hidden="1" x14ac:dyDescent="0.2">
      <c r="A106" s="22" t="s">
        <v>166</v>
      </c>
      <c r="B106" s="23" t="s">
        <v>157</v>
      </c>
      <c r="C106" s="5" t="s">
        <v>158</v>
      </c>
      <c r="D106" s="5" t="s">
        <v>56</v>
      </c>
      <c r="E106" s="5" t="s">
        <v>63</v>
      </c>
      <c r="F106" s="23" t="s">
        <v>150</v>
      </c>
      <c r="G106" s="33">
        <v>18</v>
      </c>
      <c r="H106" s="34">
        <v>45</v>
      </c>
      <c r="I106" s="8">
        <v>26</v>
      </c>
      <c r="J106" s="35">
        <v>1170</v>
      </c>
      <c r="K106" s="54">
        <f>G106*J106</f>
        <v>21060</v>
      </c>
      <c r="L106" s="50">
        <f>(G106*J106)+(I106*20)</f>
        <v>21580</v>
      </c>
      <c r="M106" s="26">
        <v>893</v>
      </c>
      <c r="N106" s="26"/>
      <c r="O106" s="26"/>
      <c r="P106" s="58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64"/>
      <c r="AB106" s="64"/>
      <c r="AC106" s="64"/>
      <c r="AD106" s="64"/>
      <c r="AE106" s="64"/>
      <c r="AF106" s="64"/>
      <c r="AG106" s="64"/>
    </row>
    <row r="107" spans="1:33" hidden="1" x14ac:dyDescent="0.2">
      <c r="A107" s="22" t="s">
        <v>177</v>
      </c>
      <c r="B107" s="23" t="s">
        <v>178</v>
      </c>
      <c r="C107" s="5" t="s">
        <v>179</v>
      </c>
      <c r="D107" s="5" t="s">
        <v>56</v>
      </c>
      <c r="E107" s="5" t="s">
        <v>63</v>
      </c>
      <c r="F107" s="23" t="s">
        <v>150</v>
      </c>
      <c r="G107" s="33">
        <v>17.5</v>
      </c>
      <c r="H107" s="34">
        <v>45</v>
      </c>
      <c r="I107" s="8">
        <v>27</v>
      </c>
      <c r="J107" s="35">
        <v>1215</v>
      </c>
      <c r="K107" s="54">
        <f>G107*J107</f>
        <v>21262.5</v>
      </c>
      <c r="L107" s="50">
        <f>(G107*J107)+(I107*20)</f>
        <v>21802.5</v>
      </c>
      <c r="M107" s="26">
        <v>832</v>
      </c>
      <c r="N107" s="26"/>
      <c r="O107" s="26"/>
      <c r="P107" s="58"/>
      <c r="Q107" s="64"/>
      <c r="R107" s="64"/>
      <c r="S107" s="64"/>
      <c r="T107" s="64"/>
      <c r="U107" s="64"/>
      <c r="V107" s="64"/>
      <c r="W107" s="64"/>
      <c r="X107" s="64"/>
      <c r="Y107" s="64"/>
      <c r="Z107" s="64"/>
      <c r="AA107" s="64"/>
      <c r="AB107" s="64"/>
      <c r="AC107" s="64"/>
      <c r="AD107" s="64"/>
      <c r="AE107" s="64"/>
      <c r="AF107" s="64"/>
      <c r="AG107" s="64"/>
    </row>
    <row r="108" spans="1:33" hidden="1" x14ac:dyDescent="0.2">
      <c r="A108" s="22" t="s">
        <v>159</v>
      </c>
      <c r="B108" s="23" t="s">
        <v>160</v>
      </c>
      <c r="C108" s="5" t="s">
        <v>161</v>
      </c>
      <c r="D108" s="5" t="s">
        <v>56</v>
      </c>
      <c r="E108" s="5" t="s">
        <v>63</v>
      </c>
      <c r="F108" s="23" t="s">
        <v>150</v>
      </c>
      <c r="G108" s="33">
        <v>15.5</v>
      </c>
      <c r="H108" s="34">
        <v>63</v>
      </c>
      <c r="I108" s="8">
        <v>22</v>
      </c>
      <c r="J108" s="35">
        <v>1386</v>
      </c>
      <c r="K108" s="54">
        <f>G108*J108</f>
        <v>21483</v>
      </c>
      <c r="L108" s="50">
        <f>(G108*J108)+(I108*20)</f>
        <v>21923</v>
      </c>
      <c r="M108" s="26">
        <v>860</v>
      </c>
      <c r="N108" s="26"/>
      <c r="O108" s="26"/>
      <c r="P108" s="58"/>
      <c r="Q108" s="64"/>
      <c r="R108" s="64"/>
      <c r="S108" s="64"/>
      <c r="T108" s="64"/>
      <c r="U108" s="64"/>
      <c r="V108" s="64"/>
      <c r="W108" s="64"/>
      <c r="X108" s="64"/>
      <c r="Y108" s="64"/>
      <c r="Z108" s="64"/>
      <c r="AA108" s="64"/>
      <c r="AB108" s="64"/>
      <c r="AC108" s="64"/>
      <c r="AD108" s="64"/>
      <c r="AE108" s="64"/>
      <c r="AF108" s="64"/>
      <c r="AG108" s="64"/>
    </row>
    <row r="109" spans="1:33" hidden="1" x14ac:dyDescent="0.2">
      <c r="A109" s="22" t="s">
        <v>167</v>
      </c>
      <c r="B109" s="23" t="s">
        <v>162</v>
      </c>
      <c r="C109" s="5" t="s">
        <v>163</v>
      </c>
      <c r="D109" s="5" t="s">
        <v>56</v>
      </c>
      <c r="E109" s="5" t="s">
        <v>63</v>
      </c>
      <c r="F109" s="23" t="s">
        <v>164</v>
      </c>
      <c r="G109" s="33">
        <v>11</v>
      </c>
      <c r="H109" s="34">
        <v>90</v>
      </c>
      <c r="I109" s="8">
        <v>21</v>
      </c>
      <c r="J109" s="35">
        <v>1890</v>
      </c>
      <c r="K109" s="54">
        <f>G109*J109</f>
        <v>20790</v>
      </c>
      <c r="L109" s="50">
        <f>(G109*J109)+(I109*20)</f>
        <v>21210</v>
      </c>
      <c r="M109" s="26">
        <v>807</v>
      </c>
      <c r="N109" s="26"/>
      <c r="O109" s="26"/>
      <c r="P109" s="58"/>
      <c r="Q109" s="64"/>
      <c r="R109" s="64"/>
      <c r="S109" s="64"/>
      <c r="T109" s="64"/>
      <c r="U109" s="64"/>
      <c r="V109" s="64"/>
      <c r="W109" s="64"/>
      <c r="X109" s="64"/>
      <c r="Y109" s="64"/>
      <c r="Z109" s="64"/>
      <c r="AA109" s="64"/>
      <c r="AB109" s="64"/>
      <c r="AC109" s="64"/>
      <c r="AD109" s="64"/>
      <c r="AE109" s="64"/>
      <c r="AF109" s="64"/>
      <c r="AG109" s="64"/>
    </row>
    <row r="110" spans="1:33" x14ac:dyDescent="0.2">
      <c r="Q110" s="210"/>
      <c r="R110" s="210"/>
      <c r="S110" s="210"/>
    </row>
  </sheetData>
  <autoFilter ref="A10:AG109"/>
  <conditionalFormatting sqref="G11:H48 G49 G50:H109">
    <cfRule type="cellIs" dxfId="2" priority="6" stopIfTrue="1" operator="equal">
      <formula>0</formula>
    </cfRule>
  </conditionalFormatting>
  <hyperlinks>
    <hyperlink ref="S1" r:id="rId1" display="http://stock.rbc.ru/demo/forex.9/daily/EUR_USD.rus.shtml?show=1M"/>
    <hyperlink ref="S2" r:id="rId2" display="http://stock.rbc.ru/demo/cb.0/daily/EUR.rus.shtml?show=3M"/>
    <hyperlink ref="S3" r:id="rId3" display="http://stock.rbc.ru/demo/cb.0/daily/USD.rus.shtml?show=3M"/>
    <hyperlink ref="A35" r:id="rId4" display="www.lode.lv"/>
  </hyperlinks>
  <pageMargins left="0.7" right="0.7" top="0.75" bottom="0.75" header="0.3" footer="0.3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7"/>
  <sheetViews>
    <sheetView topLeftCell="L1" zoomScaleNormal="100" workbookViewId="0">
      <selection activeCell="U35" sqref="U35"/>
    </sheetView>
  </sheetViews>
  <sheetFormatPr defaultRowHeight="12.75" x14ac:dyDescent="0.2"/>
  <cols>
    <col min="1" max="1" width="14.7109375" customWidth="1"/>
    <col min="2" max="2" width="14.140625" customWidth="1"/>
    <col min="3" max="3" width="18.5703125" customWidth="1"/>
    <col min="4" max="4" width="17.42578125" customWidth="1"/>
    <col min="5" max="5" width="12.42578125" customWidth="1"/>
    <col min="13" max="13" width="10.5703125" customWidth="1"/>
    <col min="14" max="14" width="9" customWidth="1"/>
    <col min="15" max="17" width="9.140625" hidden="1" customWidth="1"/>
    <col min="36" max="36" width="11.85546875" customWidth="1"/>
  </cols>
  <sheetData>
    <row r="1" spans="1:37" x14ac:dyDescent="0.2">
      <c r="M1" s="61" t="s">
        <v>201</v>
      </c>
      <c r="N1" s="62">
        <v>1.33</v>
      </c>
    </row>
    <row r="2" spans="1:37" x14ac:dyDescent="0.2">
      <c r="A2" s="2" t="s">
        <v>221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61" t="s">
        <v>200</v>
      </c>
      <c r="N2" s="63">
        <v>38.869999999999997</v>
      </c>
    </row>
    <row r="3" spans="1:37" x14ac:dyDescent="0.2">
      <c r="A3" s="2" t="s">
        <v>187</v>
      </c>
      <c r="B3" s="2"/>
      <c r="C3" s="2"/>
      <c r="D3" s="2"/>
      <c r="E3" s="2"/>
      <c r="F3" s="2"/>
      <c r="G3" s="2"/>
      <c r="H3" s="1"/>
      <c r="I3" s="1"/>
      <c r="J3" s="6" t="s">
        <v>188</v>
      </c>
      <c r="K3" s="6"/>
      <c r="L3" s="6"/>
      <c r="M3" s="61" t="s">
        <v>202</v>
      </c>
      <c r="N3" s="63">
        <v>29.08</v>
      </c>
    </row>
    <row r="4" spans="1:37" x14ac:dyDescent="0.2">
      <c r="A4" s="2" t="s">
        <v>222</v>
      </c>
      <c r="B4" s="2"/>
      <c r="C4" s="2"/>
      <c r="D4" s="2"/>
      <c r="E4" s="2"/>
      <c r="F4" s="3"/>
      <c r="G4" s="1"/>
      <c r="H4" s="1"/>
      <c r="I4" s="1"/>
      <c r="J4" s="1"/>
      <c r="K4" s="1"/>
      <c r="L4" s="1"/>
      <c r="M4" s="1"/>
    </row>
    <row r="6" spans="1:37" ht="67.5" x14ac:dyDescent="0.2">
      <c r="A6" s="37" t="s">
        <v>168</v>
      </c>
      <c r="B6" s="37" t="s">
        <v>45</v>
      </c>
      <c r="C6" s="37" t="s">
        <v>46</v>
      </c>
      <c r="D6" s="37" t="s">
        <v>47</v>
      </c>
      <c r="E6" s="37" t="s">
        <v>190</v>
      </c>
      <c r="F6" s="37" t="s">
        <v>80</v>
      </c>
      <c r="G6" s="37" t="s">
        <v>48</v>
      </c>
      <c r="H6" s="37" t="s">
        <v>81</v>
      </c>
      <c r="I6" s="37" t="s">
        <v>82</v>
      </c>
      <c r="J6" s="37" t="s">
        <v>83</v>
      </c>
      <c r="K6" s="37" t="s">
        <v>203</v>
      </c>
      <c r="L6" s="37" t="s">
        <v>204</v>
      </c>
      <c r="M6" s="37" t="s">
        <v>246</v>
      </c>
      <c r="N6" s="93" t="s">
        <v>223</v>
      </c>
      <c r="O6" s="93" t="s">
        <v>242</v>
      </c>
      <c r="P6" s="93" t="s">
        <v>224</v>
      </c>
      <c r="Q6" s="94" t="s">
        <v>225</v>
      </c>
      <c r="R6" s="95" t="s">
        <v>226</v>
      </c>
      <c r="S6" s="96" t="s">
        <v>227</v>
      </c>
      <c r="T6" s="96"/>
      <c r="U6" s="97" t="s">
        <v>245</v>
      </c>
      <c r="V6" s="95" t="s">
        <v>244</v>
      </c>
      <c r="W6" s="95" t="s">
        <v>228</v>
      </c>
      <c r="X6" s="95" t="s">
        <v>229</v>
      </c>
      <c r="Y6" s="95" t="s">
        <v>230</v>
      </c>
      <c r="Z6" s="95" t="s">
        <v>231</v>
      </c>
      <c r="AA6" s="95" t="s">
        <v>232</v>
      </c>
      <c r="AB6" s="98" t="s">
        <v>233</v>
      </c>
      <c r="AC6" s="95" t="s">
        <v>234</v>
      </c>
      <c r="AD6" s="95" t="s">
        <v>235</v>
      </c>
      <c r="AE6" s="95" t="s">
        <v>236</v>
      </c>
      <c r="AF6" s="98" t="s">
        <v>237</v>
      </c>
      <c r="AG6" s="99" t="s">
        <v>238</v>
      </c>
      <c r="AH6" s="95" t="s">
        <v>243</v>
      </c>
      <c r="AI6" s="95" t="s">
        <v>243</v>
      </c>
      <c r="AJ6" s="100" t="s">
        <v>239</v>
      </c>
      <c r="AK6" s="101" t="s">
        <v>240</v>
      </c>
    </row>
    <row r="7" spans="1:37" ht="22.5" x14ac:dyDescent="0.2">
      <c r="A7" s="4"/>
      <c r="B7" s="4" t="s">
        <v>49</v>
      </c>
      <c r="C7" s="4"/>
      <c r="D7" s="4"/>
      <c r="E7" s="4"/>
      <c r="F7" s="4"/>
      <c r="G7" s="4" t="s">
        <v>50</v>
      </c>
      <c r="H7" s="4" t="s">
        <v>51</v>
      </c>
      <c r="I7" s="4" t="s">
        <v>84</v>
      </c>
      <c r="J7" s="4" t="s">
        <v>84</v>
      </c>
      <c r="K7" s="4"/>
      <c r="L7" s="4"/>
      <c r="M7" s="4" t="s">
        <v>191</v>
      </c>
      <c r="N7" s="102"/>
      <c r="O7" s="102">
        <v>0</v>
      </c>
      <c r="P7" s="102">
        <v>0</v>
      </c>
      <c r="Q7" s="102"/>
      <c r="R7" s="103"/>
      <c r="S7" s="104"/>
      <c r="T7" s="104"/>
      <c r="U7" s="103"/>
      <c r="V7" s="105">
        <f>1200+130+43</f>
        <v>1373</v>
      </c>
      <c r="W7" s="105">
        <v>500</v>
      </c>
      <c r="X7" s="105"/>
      <c r="Y7" s="105"/>
      <c r="Z7" s="105">
        <v>9000</v>
      </c>
      <c r="AA7" s="105"/>
      <c r="AB7" s="105"/>
      <c r="AC7" s="103"/>
      <c r="AD7" s="106">
        <v>0.02</v>
      </c>
      <c r="AE7" s="106"/>
      <c r="AF7" s="105"/>
      <c r="AG7" s="103"/>
      <c r="AH7" s="103"/>
      <c r="AI7" s="103"/>
      <c r="AJ7" s="103"/>
      <c r="AK7" s="107"/>
    </row>
    <row r="8" spans="1:37" ht="15.75" x14ac:dyDescent="0.25">
      <c r="A8" s="7"/>
      <c r="B8" s="8"/>
      <c r="C8" s="9"/>
      <c r="D8" s="10"/>
      <c r="E8" s="10"/>
      <c r="F8" s="11"/>
      <c r="G8" s="12"/>
      <c r="H8" s="13"/>
      <c r="I8" s="8"/>
      <c r="J8" s="14"/>
      <c r="K8" s="14"/>
      <c r="L8" s="14"/>
      <c r="M8" s="14"/>
      <c r="N8" s="108"/>
      <c r="O8" s="109" t="s">
        <v>241</v>
      </c>
      <c r="P8" s="109" t="s">
        <v>241</v>
      </c>
      <c r="Q8" s="109" t="s">
        <v>241</v>
      </c>
      <c r="R8" s="109" t="s">
        <v>241</v>
      </c>
      <c r="S8" s="110" t="s">
        <v>241</v>
      </c>
      <c r="T8" s="110"/>
      <c r="U8" s="109" t="s">
        <v>241</v>
      </c>
      <c r="V8" s="111" t="s">
        <v>241</v>
      </c>
      <c r="W8" s="111" t="s">
        <v>241</v>
      </c>
      <c r="X8" s="111" t="s">
        <v>241</v>
      </c>
      <c r="Y8" s="111" t="s">
        <v>241</v>
      </c>
      <c r="Z8" s="111" t="s">
        <v>241</v>
      </c>
      <c r="AA8" s="111" t="s">
        <v>241</v>
      </c>
      <c r="AB8" s="111" t="s">
        <v>241</v>
      </c>
      <c r="AC8" s="111" t="s">
        <v>241</v>
      </c>
      <c r="AD8" s="111" t="s">
        <v>241</v>
      </c>
      <c r="AE8" s="111" t="s">
        <v>241</v>
      </c>
      <c r="AF8" s="111" t="s">
        <v>241</v>
      </c>
      <c r="AG8" s="111" t="s">
        <v>241</v>
      </c>
      <c r="AH8" s="111" t="s">
        <v>241</v>
      </c>
      <c r="AI8" s="111" t="s">
        <v>241</v>
      </c>
      <c r="AJ8" s="111" t="s">
        <v>241</v>
      </c>
      <c r="AK8" s="112" t="s">
        <v>241</v>
      </c>
    </row>
    <row r="9" spans="1:37" ht="15" x14ac:dyDescent="0.25">
      <c r="A9" s="15" t="s">
        <v>52</v>
      </c>
      <c r="B9" s="16"/>
      <c r="C9" s="17"/>
      <c r="D9" s="17"/>
      <c r="E9" s="17"/>
      <c r="F9" s="16"/>
      <c r="G9" s="18"/>
      <c r="H9" s="19"/>
      <c r="I9" s="20"/>
      <c r="J9" s="21"/>
      <c r="K9" s="21"/>
      <c r="L9" s="21"/>
      <c r="M9" s="21"/>
      <c r="N9" s="50"/>
      <c r="O9" s="113"/>
      <c r="P9" s="113"/>
      <c r="Q9" s="114"/>
      <c r="R9" s="115"/>
      <c r="S9" s="116"/>
      <c r="T9" s="116"/>
      <c r="U9" s="117"/>
      <c r="V9" s="118"/>
      <c r="W9" s="115"/>
      <c r="X9" s="115"/>
      <c r="Y9" s="115"/>
      <c r="Z9" s="119"/>
      <c r="AA9" s="120"/>
      <c r="AB9" s="120"/>
      <c r="AC9" s="115"/>
      <c r="AD9" s="115"/>
      <c r="AE9" s="115"/>
      <c r="AF9" s="115"/>
      <c r="AG9" s="115"/>
      <c r="AH9" s="121"/>
      <c r="AI9" s="121"/>
      <c r="AJ9" s="120"/>
      <c r="AK9" s="122"/>
    </row>
    <row r="10" spans="1:37" x14ac:dyDescent="0.2">
      <c r="A10" s="22" t="s">
        <v>85</v>
      </c>
      <c r="B10" s="23" t="s">
        <v>0</v>
      </c>
      <c r="C10" s="5" t="s">
        <v>1</v>
      </c>
      <c r="D10" s="5" t="s">
        <v>56</v>
      </c>
      <c r="E10" s="5" t="s">
        <v>57</v>
      </c>
      <c r="F10" s="23" t="s">
        <v>2</v>
      </c>
      <c r="G10" s="24">
        <v>4.0999999999999996</v>
      </c>
      <c r="H10" s="25">
        <v>308</v>
      </c>
      <c r="I10" s="8">
        <v>17</v>
      </c>
      <c r="J10" s="35">
        <v>5236</v>
      </c>
      <c r="K10" s="35">
        <f>G10*J10</f>
        <v>21467.599999999999</v>
      </c>
      <c r="L10" s="35">
        <f>K10+I10*20</f>
        <v>21807.599999999999</v>
      </c>
      <c r="M10" s="26">
        <v>459</v>
      </c>
      <c r="N10" s="50">
        <f>J10*M10/1000</f>
        <v>2403.3240000000001</v>
      </c>
      <c r="O10" s="113">
        <f>$O$7</f>
        <v>0</v>
      </c>
      <c r="P10" s="113">
        <f>$P$7</f>
        <v>0</v>
      </c>
      <c r="Q10" s="114">
        <f>O10+P10</f>
        <v>0</v>
      </c>
      <c r="R10" s="123">
        <f>N10/K10*$N$1</f>
        <v>0.14889512195121954</v>
      </c>
      <c r="S10" s="124">
        <v>0.17</v>
      </c>
      <c r="T10" s="124"/>
      <c r="U10" s="125">
        <f>S10*K10/$N$1</f>
        <v>2743.9789473684209</v>
      </c>
      <c r="V10" s="126">
        <f>$V$7</f>
        <v>1373</v>
      </c>
      <c r="W10" s="115">
        <f>$W$7/N$2</f>
        <v>12.863390789812195</v>
      </c>
      <c r="X10" s="123">
        <f>U10*0.2</f>
        <v>548.79578947368418</v>
      </c>
      <c r="Y10" s="123">
        <f>(U10+X10)*0.18</f>
        <v>592.69945263157888</v>
      </c>
      <c r="Z10" s="127">
        <f>$Z$7/$N$2</f>
        <v>231.54103421661952</v>
      </c>
      <c r="AA10" s="128">
        <f>Z10*0.18</f>
        <v>41.67738615899151</v>
      </c>
      <c r="AB10" s="128">
        <f>Y10+AA10</f>
        <v>634.37683879057045</v>
      </c>
      <c r="AC10" s="123">
        <f>N10+V10+W10+X10+Z10</f>
        <v>4569.5242144801159</v>
      </c>
      <c r="AD10" s="129">
        <f>AC10*$AD$7</f>
        <v>91.390484289602327</v>
      </c>
      <c r="AE10" s="129">
        <f>AC10+AD10</f>
        <v>4660.9146987697186</v>
      </c>
      <c r="AF10" s="129">
        <f>AE10*0.18</f>
        <v>838.96464577854931</v>
      </c>
      <c r="AG10" s="129">
        <f>AE10+AF10</f>
        <v>5499.8793445482679</v>
      </c>
      <c r="AH10" s="130">
        <f>AG10/J10</f>
        <v>1.0503971246272474</v>
      </c>
      <c r="AI10" s="130">
        <f>AH10*$N$2</f>
        <v>40.828936234261107</v>
      </c>
      <c r="AJ10" s="128">
        <f>AG10-N10</f>
        <v>3096.5553445482678</v>
      </c>
      <c r="AK10" s="122">
        <f>AF10-Y10-AA10</f>
        <v>204.58780698797892</v>
      </c>
    </row>
    <row r="11" spans="1:37" x14ac:dyDescent="0.2">
      <c r="A11" s="142"/>
      <c r="B11" s="143"/>
      <c r="C11" s="144"/>
      <c r="D11" s="144"/>
      <c r="E11" s="144"/>
      <c r="F11" s="143"/>
      <c r="G11" s="145"/>
      <c r="H11" s="146"/>
      <c r="I11" s="143"/>
      <c r="J11" s="148"/>
      <c r="K11" s="149"/>
      <c r="L11" s="149"/>
      <c r="M11" s="188"/>
      <c r="N11" s="151"/>
      <c r="O11" s="152"/>
      <c r="P11" s="152"/>
      <c r="Q11" s="153"/>
      <c r="R11" s="154"/>
      <c r="S11" s="155"/>
      <c r="T11" s="155"/>
      <c r="U11" s="156"/>
      <c r="V11" s="157"/>
      <c r="W11" s="154"/>
      <c r="X11" s="123">
        <f t="shared" ref="X11:X66" si="0">U11*0.2</f>
        <v>0</v>
      </c>
      <c r="Y11" s="123">
        <f t="shared" ref="Y11:Y66" si="1">(U11+X11)*0.18</f>
        <v>0</v>
      </c>
      <c r="Z11" s="158"/>
      <c r="AA11" s="159"/>
      <c r="AB11" s="159"/>
      <c r="AC11" s="123">
        <f t="shared" ref="AC11:AC66" si="2">N11+V11+W11+X11+Z11</f>
        <v>0</v>
      </c>
      <c r="AD11" s="154"/>
      <c r="AE11" s="154"/>
      <c r="AF11" s="154"/>
      <c r="AG11" s="154"/>
      <c r="AH11" s="160"/>
      <c r="AI11" s="160"/>
      <c r="AJ11" s="128">
        <f t="shared" ref="AJ11:AJ66" si="3">AG11-N11</f>
        <v>0</v>
      </c>
      <c r="AK11" s="161"/>
    </row>
    <row r="12" spans="1:37" x14ac:dyDescent="0.2">
      <c r="A12" s="22" t="s">
        <v>86</v>
      </c>
      <c r="B12" s="23" t="s">
        <v>4</v>
      </c>
      <c r="C12" s="5" t="s">
        <v>1</v>
      </c>
      <c r="D12" s="5" t="s">
        <v>56</v>
      </c>
      <c r="E12" s="5" t="s">
        <v>57</v>
      </c>
      <c r="F12" s="23" t="s">
        <v>2</v>
      </c>
      <c r="G12" s="24">
        <v>3.15</v>
      </c>
      <c r="H12" s="25">
        <v>416</v>
      </c>
      <c r="I12" s="8">
        <v>16</v>
      </c>
      <c r="J12" s="35">
        <v>6656</v>
      </c>
      <c r="K12" s="35">
        <f>G12*J12</f>
        <v>20966.399999999998</v>
      </c>
      <c r="L12" s="35">
        <f t="shared" ref="L12:L65" si="4">K12+I12*20</f>
        <v>21286.399999999998</v>
      </c>
      <c r="M12" s="26">
        <v>275</v>
      </c>
      <c r="N12" s="50">
        <f>J12*M12/1000</f>
        <v>1830.4</v>
      </c>
      <c r="O12" s="113">
        <f t="shared" ref="O12:O65" si="5">$O$7</f>
        <v>0</v>
      </c>
      <c r="P12" s="113">
        <f t="shared" ref="P12:P65" si="6">$P$7</f>
        <v>0</v>
      </c>
      <c r="Q12" s="114">
        <f t="shared" ref="Q12:Q65" si="7">O12+P12</f>
        <v>0</v>
      </c>
      <c r="R12" s="123">
        <f t="shared" ref="R12:R17" si="8">N12/K12*$N$1</f>
        <v>0.11611111111111112</v>
      </c>
      <c r="S12" s="124">
        <v>0.17</v>
      </c>
      <c r="T12" s="124"/>
      <c r="U12" s="125">
        <f>S12*K12/$N$1</f>
        <v>2679.9157894736841</v>
      </c>
      <c r="V12" s="126">
        <f t="shared" ref="V12:V65" si="9">$V$7</f>
        <v>1373</v>
      </c>
      <c r="W12" s="115">
        <f t="shared" ref="W12:W17" si="10">$W$7/N$2</f>
        <v>12.863390789812195</v>
      </c>
      <c r="X12" s="123">
        <f t="shared" si="0"/>
        <v>535.98315789473679</v>
      </c>
      <c r="Y12" s="123">
        <f t="shared" si="1"/>
        <v>578.86181052631571</v>
      </c>
      <c r="Z12" s="127">
        <f t="shared" ref="Z12:Z17" si="11">$Z$7/$N$2</f>
        <v>231.54103421661952</v>
      </c>
      <c r="AA12" s="128">
        <f t="shared" ref="AA12:AA65" si="12">Z12*0.18</f>
        <v>41.67738615899151</v>
      </c>
      <c r="AB12" s="128">
        <f t="shared" ref="AB12:AB65" si="13">Y12+AA12</f>
        <v>620.53919668530716</v>
      </c>
      <c r="AC12" s="123">
        <f t="shared" si="2"/>
        <v>3983.7875829011687</v>
      </c>
      <c r="AD12" s="129">
        <f t="shared" ref="AD12:AD65" si="14">AC12*$AD$7</f>
        <v>79.675751658023373</v>
      </c>
      <c r="AE12" s="129">
        <f>AC12+AD12</f>
        <v>4063.4633345591919</v>
      </c>
      <c r="AF12" s="129">
        <f t="shared" ref="AF12:AF65" si="15">AE12*0.18</f>
        <v>731.42340022065457</v>
      </c>
      <c r="AG12" s="129">
        <f t="shared" ref="AG12:AG65" si="16">AE12+AF12</f>
        <v>4794.8867347798468</v>
      </c>
      <c r="AH12" s="130">
        <f t="shared" ref="AH12:AH17" si="17">AG12/J12</f>
        <v>0.7203856272205299</v>
      </c>
      <c r="AI12" s="130">
        <f t="shared" ref="AI12:AI65" si="18">AH12*$N$2</f>
        <v>28.001389330061997</v>
      </c>
      <c r="AJ12" s="128">
        <f t="shared" si="3"/>
        <v>2964.4867347798468</v>
      </c>
      <c r="AK12" s="122">
        <f t="shared" ref="AK12:AK65" si="19">AF12-Y12-AA12</f>
        <v>110.88420353534735</v>
      </c>
    </row>
    <row r="13" spans="1:37" x14ac:dyDescent="0.2">
      <c r="A13" s="22" t="s">
        <v>87</v>
      </c>
      <c r="B13" s="23" t="s">
        <v>4</v>
      </c>
      <c r="C13" s="5" t="s">
        <v>5</v>
      </c>
      <c r="D13" s="5" t="s">
        <v>59</v>
      </c>
      <c r="E13" s="5" t="s">
        <v>57</v>
      </c>
      <c r="F13" s="23" t="s">
        <v>2</v>
      </c>
      <c r="G13" s="24">
        <v>3.2</v>
      </c>
      <c r="H13" s="25">
        <v>416</v>
      </c>
      <c r="I13" s="8">
        <v>16</v>
      </c>
      <c r="J13" s="35">
        <v>6656</v>
      </c>
      <c r="K13" s="35">
        <f t="shared" ref="K13:K65" si="20">G13*J13</f>
        <v>21299.200000000001</v>
      </c>
      <c r="L13" s="35">
        <f t="shared" si="4"/>
        <v>21619.200000000001</v>
      </c>
      <c r="M13" s="26">
        <v>352</v>
      </c>
      <c r="N13" s="50">
        <f t="shared" ref="N13:N65" si="21">J13*M13/1000</f>
        <v>2342.9119999999998</v>
      </c>
      <c r="O13" s="113">
        <f t="shared" si="5"/>
        <v>0</v>
      </c>
      <c r="P13" s="113">
        <f t="shared" si="6"/>
        <v>0</v>
      </c>
      <c r="Q13" s="114">
        <f t="shared" si="7"/>
        <v>0</v>
      </c>
      <c r="R13" s="123">
        <f t="shared" si="8"/>
        <v>0.14629999999999999</v>
      </c>
      <c r="S13" s="124">
        <v>0.17</v>
      </c>
      <c r="T13" s="124"/>
      <c r="U13" s="125">
        <f>S13*K13/$N$1</f>
        <v>2722.4541353383461</v>
      </c>
      <c r="V13" s="126">
        <f t="shared" si="9"/>
        <v>1373</v>
      </c>
      <c r="W13" s="115">
        <f t="shared" si="10"/>
        <v>12.863390789812195</v>
      </c>
      <c r="X13" s="123">
        <f t="shared" si="0"/>
        <v>544.49082706766922</v>
      </c>
      <c r="Y13" s="123">
        <f t="shared" si="1"/>
        <v>588.05009323308275</v>
      </c>
      <c r="Z13" s="127">
        <f t="shared" si="11"/>
        <v>231.54103421661952</v>
      </c>
      <c r="AA13" s="128">
        <f t="shared" si="12"/>
        <v>41.67738615899151</v>
      </c>
      <c r="AB13" s="128">
        <f t="shared" si="13"/>
        <v>629.7274793920742</v>
      </c>
      <c r="AC13" s="123">
        <f>N13+V13+W13+X13+Z13</f>
        <v>4504.8072520741007</v>
      </c>
      <c r="AD13" s="129">
        <f t="shared" si="14"/>
        <v>90.096145041482018</v>
      </c>
      <c r="AE13" s="129">
        <f t="shared" ref="AE13:AE65" si="22">AC13+AD13</f>
        <v>4594.9033971155823</v>
      </c>
      <c r="AF13" s="129">
        <f t="shared" si="15"/>
        <v>827.08261148080476</v>
      </c>
      <c r="AG13" s="129">
        <f t="shared" si="16"/>
        <v>5421.9860085963874</v>
      </c>
      <c r="AH13" s="130">
        <f t="shared" si="17"/>
        <v>0.81460126331075533</v>
      </c>
      <c r="AI13" s="130">
        <f t="shared" si="18"/>
        <v>31.663551104889059</v>
      </c>
      <c r="AJ13" s="128">
        <f t="shared" si="3"/>
        <v>3079.0740085963876</v>
      </c>
      <c r="AK13" s="122">
        <f t="shared" si="19"/>
        <v>197.3551320887305</v>
      </c>
    </row>
    <row r="14" spans="1:37" x14ac:dyDescent="0.2">
      <c r="A14" s="22" t="s">
        <v>88</v>
      </c>
      <c r="B14" s="23" t="s">
        <v>4</v>
      </c>
      <c r="C14" s="5" t="s">
        <v>66</v>
      </c>
      <c r="D14" s="5" t="s">
        <v>60</v>
      </c>
      <c r="E14" s="5" t="s">
        <v>57</v>
      </c>
      <c r="F14" s="23" t="s">
        <v>2</v>
      </c>
      <c r="G14" s="24">
        <v>3.2</v>
      </c>
      <c r="H14" s="25">
        <v>416</v>
      </c>
      <c r="I14" s="8">
        <v>16</v>
      </c>
      <c r="J14" s="35">
        <v>6656</v>
      </c>
      <c r="K14" s="35">
        <f t="shared" si="20"/>
        <v>21299.200000000001</v>
      </c>
      <c r="L14" s="35">
        <f t="shared" si="4"/>
        <v>21619.200000000001</v>
      </c>
      <c r="M14" s="26">
        <v>352</v>
      </c>
      <c r="N14" s="50">
        <f t="shared" si="21"/>
        <v>2342.9119999999998</v>
      </c>
      <c r="O14" s="113">
        <f t="shared" si="5"/>
        <v>0</v>
      </c>
      <c r="P14" s="113">
        <f t="shared" si="6"/>
        <v>0</v>
      </c>
      <c r="Q14" s="114">
        <f t="shared" si="7"/>
        <v>0</v>
      </c>
      <c r="R14" s="123">
        <f t="shared" si="8"/>
        <v>0.14629999999999999</v>
      </c>
      <c r="S14" s="124">
        <v>0.17</v>
      </c>
      <c r="T14" s="124"/>
      <c r="U14" s="125">
        <f>S14*K14/$N$1</f>
        <v>2722.4541353383461</v>
      </c>
      <c r="V14" s="126">
        <f t="shared" si="9"/>
        <v>1373</v>
      </c>
      <c r="W14" s="115">
        <f t="shared" si="10"/>
        <v>12.863390789812195</v>
      </c>
      <c r="X14" s="123">
        <f t="shared" si="0"/>
        <v>544.49082706766922</v>
      </c>
      <c r="Y14" s="123">
        <f t="shared" si="1"/>
        <v>588.05009323308275</v>
      </c>
      <c r="Z14" s="127">
        <f t="shared" si="11"/>
        <v>231.54103421661952</v>
      </c>
      <c r="AA14" s="128">
        <f t="shared" si="12"/>
        <v>41.67738615899151</v>
      </c>
      <c r="AB14" s="128">
        <f t="shared" si="13"/>
        <v>629.7274793920742</v>
      </c>
      <c r="AC14" s="123">
        <f>N14+V14+W14+X14+Z14</f>
        <v>4504.8072520741007</v>
      </c>
      <c r="AD14" s="129">
        <f t="shared" si="14"/>
        <v>90.096145041482018</v>
      </c>
      <c r="AE14" s="129">
        <f t="shared" si="22"/>
        <v>4594.9033971155823</v>
      </c>
      <c r="AF14" s="129">
        <f t="shared" si="15"/>
        <v>827.08261148080476</v>
      </c>
      <c r="AG14" s="129">
        <f t="shared" si="16"/>
        <v>5421.9860085963874</v>
      </c>
      <c r="AH14" s="130">
        <f t="shared" si="17"/>
        <v>0.81460126331075533</v>
      </c>
      <c r="AI14" s="130">
        <f t="shared" si="18"/>
        <v>31.663551104889059</v>
      </c>
      <c r="AJ14" s="128">
        <f t="shared" si="3"/>
        <v>3079.0740085963876</v>
      </c>
      <c r="AK14" s="122">
        <f t="shared" si="19"/>
        <v>197.3551320887305</v>
      </c>
    </row>
    <row r="15" spans="1:37" x14ac:dyDescent="0.2">
      <c r="A15" s="22" t="s">
        <v>89</v>
      </c>
      <c r="B15" s="23" t="s">
        <v>4</v>
      </c>
      <c r="C15" s="5" t="s">
        <v>67</v>
      </c>
      <c r="D15" s="5" t="s">
        <v>78</v>
      </c>
      <c r="E15" s="5" t="s">
        <v>57</v>
      </c>
      <c r="F15" s="23" t="s">
        <v>2</v>
      </c>
      <c r="G15" s="24">
        <v>3.15</v>
      </c>
      <c r="H15" s="25">
        <v>416</v>
      </c>
      <c r="I15" s="8">
        <v>16</v>
      </c>
      <c r="J15" s="35">
        <v>6656</v>
      </c>
      <c r="K15" s="35">
        <f t="shared" si="20"/>
        <v>20966.399999999998</v>
      </c>
      <c r="L15" s="35">
        <f t="shared" si="4"/>
        <v>21286.399999999998</v>
      </c>
      <c r="M15" s="26">
        <v>398</v>
      </c>
      <c r="N15" s="50">
        <f t="shared" si="21"/>
        <v>2649.0880000000002</v>
      </c>
      <c r="O15" s="113">
        <f t="shared" si="5"/>
        <v>0</v>
      </c>
      <c r="P15" s="113">
        <f t="shared" si="6"/>
        <v>0</v>
      </c>
      <c r="Q15" s="114">
        <f t="shared" si="7"/>
        <v>0</v>
      </c>
      <c r="R15" s="123">
        <f t="shared" si="8"/>
        <v>0.1680444444444445</v>
      </c>
      <c r="S15" s="124">
        <v>0.17</v>
      </c>
      <c r="T15" s="124"/>
      <c r="U15" s="125">
        <f>N15</f>
        <v>2649.0880000000002</v>
      </c>
      <c r="V15" s="126">
        <f t="shared" si="9"/>
        <v>1373</v>
      </c>
      <c r="W15" s="115">
        <f t="shared" si="10"/>
        <v>12.863390789812195</v>
      </c>
      <c r="X15" s="123">
        <f t="shared" si="0"/>
        <v>529.81760000000008</v>
      </c>
      <c r="Y15" s="123">
        <f t="shared" si="1"/>
        <v>572.20300799999995</v>
      </c>
      <c r="Z15" s="127">
        <f t="shared" si="11"/>
        <v>231.54103421661952</v>
      </c>
      <c r="AA15" s="128">
        <f t="shared" si="12"/>
        <v>41.67738615899151</v>
      </c>
      <c r="AB15" s="128">
        <f t="shared" si="13"/>
        <v>613.88039415899152</v>
      </c>
      <c r="AC15" s="123">
        <f t="shared" si="2"/>
        <v>4796.3100250064317</v>
      </c>
      <c r="AD15" s="129">
        <f t="shared" si="14"/>
        <v>95.92620050012863</v>
      </c>
      <c r="AE15" s="129">
        <f t="shared" si="22"/>
        <v>4892.23622550656</v>
      </c>
      <c r="AF15" s="129">
        <f t="shared" si="15"/>
        <v>880.60252059118079</v>
      </c>
      <c r="AG15" s="129">
        <f t="shared" si="16"/>
        <v>5772.838746097741</v>
      </c>
      <c r="AH15" s="130">
        <f t="shared" si="17"/>
        <v>0.86731351353631925</v>
      </c>
      <c r="AI15" s="130">
        <f t="shared" si="18"/>
        <v>33.712476271156724</v>
      </c>
      <c r="AJ15" s="128">
        <f t="shared" si="3"/>
        <v>3123.7507460977408</v>
      </c>
      <c r="AK15" s="122">
        <f t="shared" si="19"/>
        <v>266.72212643218933</v>
      </c>
    </row>
    <row r="16" spans="1:37" x14ac:dyDescent="0.2">
      <c r="A16" s="22" t="s">
        <v>90</v>
      </c>
      <c r="B16" s="23" t="s">
        <v>4</v>
      </c>
      <c r="C16" s="5" t="s">
        <v>68</v>
      </c>
      <c r="D16" s="5" t="s">
        <v>78</v>
      </c>
      <c r="E16" s="5" t="s">
        <v>57</v>
      </c>
      <c r="F16" s="23" t="s">
        <v>2</v>
      </c>
      <c r="G16" s="24">
        <v>3.15</v>
      </c>
      <c r="H16" s="25">
        <v>416</v>
      </c>
      <c r="I16" s="8">
        <v>16</v>
      </c>
      <c r="J16" s="35">
        <v>6656</v>
      </c>
      <c r="K16" s="35">
        <f t="shared" si="20"/>
        <v>20966.399999999998</v>
      </c>
      <c r="L16" s="35">
        <f t="shared" si="4"/>
        <v>21286.399999999998</v>
      </c>
      <c r="M16" s="26">
        <v>398</v>
      </c>
      <c r="N16" s="50">
        <f t="shared" si="21"/>
        <v>2649.0880000000002</v>
      </c>
      <c r="O16" s="113">
        <f t="shared" si="5"/>
        <v>0</v>
      </c>
      <c r="P16" s="113">
        <f t="shared" si="6"/>
        <v>0</v>
      </c>
      <c r="Q16" s="114">
        <f t="shared" si="7"/>
        <v>0</v>
      </c>
      <c r="R16" s="123">
        <f t="shared" si="8"/>
        <v>0.1680444444444445</v>
      </c>
      <c r="S16" s="124">
        <v>0.17</v>
      </c>
      <c r="T16" s="124"/>
      <c r="U16" s="125">
        <f>N16</f>
        <v>2649.0880000000002</v>
      </c>
      <c r="V16" s="126">
        <f t="shared" si="9"/>
        <v>1373</v>
      </c>
      <c r="W16" s="115">
        <f t="shared" si="10"/>
        <v>12.863390789812195</v>
      </c>
      <c r="X16" s="123">
        <f t="shared" si="0"/>
        <v>529.81760000000008</v>
      </c>
      <c r="Y16" s="123">
        <f t="shared" si="1"/>
        <v>572.20300799999995</v>
      </c>
      <c r="Z16" s="127">
        <f t="shared" si="11"/>
        <v>231.54103421661952</v>
      </c>
      <c r="AA16" s="128">
        <f t="shared" si="12"/>
        <v>41.67738615899151</v>
      </c>
      <c r="AB16" s="128">
        <f t="shared" si="13"/>
        <v>613.88039415899152</v>
      </c>
      <c r="AC16" s="123">
        <f t="shared" si="2"/>
        <v>4796.3100250064317</v>
      </c>
      <c r="AD16" s="129">
        <f t="shared" si="14"/>
        <v>95.92620050012863</v>
      </c>
      <c r="AE16" s="129">
        <f t="shared" si="22"/>
        <v>4892.23622550656</v>
      </c>
      <c r="AF16" s="129">
        <f t="shared" si="15"/>
        <v>880.60252059118079</v>
      </c>
      <c r="AG16" s="129">
        <f t="shared" si="16"/>
        <v>5772.838746097741</v>
      </c>
      <c r="AH16" s="130">
        <f t="shared" si="17"/>
        <v>0.86731351353631925</v>
      </c>
      <c r="AI16" s="130">
        <f t="shared" si="18"/>
        <v>33.712476271156724</v>
      </c>
      <c r="AJ16" s="128">
        <f t="shared" si="3"/>
        <v>3123.7507460977408</v>
      </c>
      <c r="AK16" s="122">
        <f t="shared" si="19"/>
        <v>266.72212643218933</v>
      </c>
    </row>
    <row r="17" spans="1:37" x14ac:dyDescent="0.2">
      <c r="A17" s="27" t="s">
        <v>143</v>
      </c>
      <c r="B17" s="8" t="s">
        <v>4</v>
      </c>
      <c r="C17" s="5" t="s">
        <v>144</v>
      </c>
      <c r="D17" s="9" t="s">
        <v>58</v>
      </c>
      <c r="E17" s="5" t="s">
        <v>57</v>
      </c>
      <c r="F17" s="8" t="s">
        <v>3</v>
      </c>
      <c r="G17" s="24">
        <v>2.7</v>
      </c>
      <c r="H17" s="25">
        <v>420</v>
      </c>
      <c r="I17" s="8">
        <v>19</v>
      </c>
      <c r="J17" s="35">
        <v>7980</v>
      </c>
      <c r="K17" s="35">
        <f t="shared" si="20"/>
        <v>21546</v>
      </c>
      <c r="L17" s="35">
        <f t="shared" si="4"/>
        <v>21926</v>
      </c>
      <c r="M17" s="26">
        <v>337</v>
      </c>
      <c r="N17" s="50">
        <f t="shared" si="21"/>
        <v>2689.26</v>
      </c>
      <c r="O17" s="113">
        <f t="shared" si="5"/>
        <v>0</v>
      </c>
      <c r="P17" s="113">
        <f t="shared" si="6"/>
        <v>0</v>
      </c>
      <c r="Q17" s="114">
        <f t="shared" si="7"/>
        <v>0</v>
      </c>
      <c r="R17" s="123">
        <f t="shared" si="8"/>
        <v>0.16600370370370374</v>
      </c>
      <c r="S17" s="124">
        <v>0.17</v>
      </c>
      <c r="T17" s="124"/>
      <c r="U17" s="125">
        <f>N17</f>
        <v>2689.26</v>
      </c>
      <c r="V17" s="126">
        <f t="shared" si="9"/>
        <v>1373</v>
      </c>
      <c r="W17" s="115">
        <f t="shared" si="10"/>
        <v>12.863390789812195</v>
      </c>
      <c r="X17" s="123">
        <f t="shared" si="0"/>
        <v>537.85200000000009</v>
      </c>
      <c r="Y17" s="123">
        <f t="shared" si="1"/>
        <v>580.88016000000005</v>
      </c>
      <c r="Z17" s="127">
        <f t="shared" si="11"/>
        <v>231.54103421661952</v>
      </c>
      <c r="AA17" s="128">
        <f t="shared" si="12"/>
        <v>41.67738615899151</v>
      </c>
      <c r="AB17" s="128">
        <f t="shared" si="13"/>
        <v>622.5575461589915</v>
      </c>
      <c r="AC17" s="123">
        <f t="shared" si="2"/>
        <v>4844.5164250064317</v>
      </c>
      <c r="AD17" s="129">
        <f t="shared" si="14"/>
        <v>96.890328500128632</v>
      </c>
      <c r="AE17" s="129">
        <f t="shared" si="22"/>
        <v>4941.4067535065606</v>
      </c>
      <c r="AF17" s="129">
        <f t="shared" si="15"/>
        <v>889.45321563118091</v>
      </c>
      <c r="AG17" s="129">
        <f t="shared" si="16"/>
        <v>5830.8599691377412</v>
      </c>
      <c r="AH17" s="130">
        <f t="shared" si="17"/>
        <v>0.7306842066588648</v>
      </c>
      <c r="AI17" s="130">
        <f t="shared" si="18"/>
        <v>28.401695112830073</v>
      </c>
      <c r="AJ17" s="128">
        <f t="shared" si="3"/>
        <v>3141.599969137741</v>
      </c>
      <c r="AK17" s="122">
        <f t="shared" si="19"/>
        <v>266.89566947218935</v>
      </c>
    </row>
    <row r="18" spans="1:37" x14ac:dyDescent="0.2">
      <c r="A18" s="142"/>
      <c r="B18" s="143"/>
      <c r="C18" s="144"/>
      <c r="D18" s="144"/>
      <c r="E18" s="144"/>
      <c r="F18" s="143"/>
      <c r="G18" s="145"/>
      <c r="H18" s="146"/>
      <c r="I18" s="143"/>
      <c r="J18" s="148"/>
      <c r="K18" s="149"/>
      <c r="L18" s="149"/>
      <c r="M18" s="188"/>
      <c r="N18" s="151"/>
      <c r="O18" s="152"/>
      <c r="P18" s="152"/>
      <c r="Q18" s="153"/>
      <c r="R18" s="154"/>
      <c r="S18" s="155"/>
      <c r="T18" s="155"/>
      <c r="U18" s="125">
        <f>S18*K18/$N$1</f>
        <v>0</v>
      </c>
      <c r="V18" s="157"/>
      <c r="W18" s="154"/>
      <c r="X18" s="123">
        <f t="shared" si="0"/>
        <v>0</v>
      </c>
      <c r="Y18" s="123">
        <f t="shared" si="1"/>
        <v>0</v>
      </c>
      <c r="Z18" s="158"/>
      <c r="AA18" s="159"/>
      <c r="AB18" s="159"/>
      <c r="AC18" s="123">
        <f t="shared" si="2"/>
        <v>0</v>
      </c>
      <c r="AD18" s="154"/>
      <c r="AE18" s="154"/>
      <c r="AF18" s="154"/>
      <c r="AG18" s="154"/>
      <c r="AH18" s="160"/>
      <c r="AI18" s="160"/>
      <c r="AJ18" s="128">
        <f t="shared" si="3"/>
        <v>0</v>
      </c>
      <c r="AK18" s="161"/>
    </row>
    <row r="19" spans="1:37" x14ac:dyDescent="0.2">
      <c r="A19" s="22" t="s">
        <v>91</v>
      </c>
      <c r="B19" s="23" t="s">
        <v>4</v>
      </c>
      <c r="C19" s="5" t="s">
        <v>6</v>
      </c>
      <c r="D19" s="5" t="s">
        <v>56</v>
      </c>
      <c r="E19" s="5" t="s">
        <v>61</v>
      </c>
      <c r="F19" s="23" t="s">
        <v>2</v>
      </c>
      <c r="G19" s="24">
        <v>3.15</v>
      </c>
      <c r="H19" s="25">
        <v>416</v>
      </c>
      <c r="I19" s="8">
        <v>16</v>
      </c>
      <c r="J19" s="35">
        <v>6656</v>
      </c>
      <c r="K19" s="35">
        <f t="shared" si="20"/>
        <v>20966.399999999998</v>
      </c>
      <c r="L19" s="35">
        <f t="shared" si="4"/>
        <v>21286.399999999998</v>
      </c>
      <c r="M19" s="26">
        <v>275</v>
      </c>
      <c r="N19" s="50">
        <f t="shared" si="21"/>
        <v>1830.4</v>
      </c>
      <c r="O19" s="113">
        <f t="shared" si="5"/>
        <v>0</v>
      </c>
      <c r="P19" s="113">
        <f t="shared" si="6"/>
        <v>0</v>
      </c>
      <c r="Q19" s="114">
        <f t="shared" si="7"/>
        <v>0</v>
      </c>
      <c r="R19" s="123">
        <f>N19/K19*$N$1</f>
        <v>0.11611111111111112</v>
      </c>
      <c r="S19" s="124">
        <v>0.17</v>
      </c>
      <c r="T19" s="124"/>
      <c r="U19" s="125">
        <f>S19*K19/$N$1</f>
        <v>2679.9157894736841</v>
      </c>
      <c r="V19" s="126">
        <f t="shared" si="9"/>
        <v>1373</v>
      </c>
      <c r="W19" s="115">
        <f>$W$7/N$2</f>
        <v>12.863390789812195</v>
      </c>
      <c r="X19" s="123">
        <f t="shared" si="0"/>
        <v>535.98315789473679</v>
      </c>
      <c r="Y19" s="123">
        <f t="shared" si="1"/>
        <v>578.86181052631571</v>
      </c>
      <c r="Z19" s="127">
        <f>$Z$7/$N$2</f>
        <v>231.54103421661952</v>
      </c>
      <c r="AA19" s="128">
        <f t="shared" si="12"/>
        <v>41.67738615899151</v>
      </c>
      <c r="AB19" s="128">
        <f t="shared" si="13"/>
        <v>620.53919668530716</v>
      </c>
      <c r="AC19" s="123">
        <f t="shared" si="2"/>
        <v>3983.7875829011687</v>
      </c>
      <c r="AD19" s="129">
        <f t="shared" si="14"/>
        <v>79.675751658023373</v>
      </c>
      <c r="AE19" s="129">
        <f t="shared" si="22"/>
        <v>4063.4633345591919</v>
      </c>
      <c r="AF19" s="129">
        <f t="shared" si="15"/>
        <v>731.42340022065457</v>
      </c>
      <c r="AG19" s="129">
        <f t="shared" si="16"/>
        <v>4794.8867347798468</v>
      </c>
      <c r="AH19" s="130">
        <f>AG19/J19</f>
        <v>0.7203856272205299</v>
      </c>
      <c r="AI19" s="130">
        <f t="shared" si="18"/>
        <v>28.001389330061997</v>
      </c>
      <c r="AJ19" s="128">
        <f t="shared" si="3"/>
        <v>2964.4867347798468</v>
      </c>
      <c r="AK19" s="122">
        <f t="shared" si="19"/>
        <v>110.88420353534735</v>
      </c>
    </row>
    <row r="20" spans="1:37" x14ac:dyDescent="0.2">
      <c r="A20" s="22" t="s">
        <v>92</v>
      </c>
      <c r="B20" s="23" t="s">
        <v>4</v>
      </c>
      <c r="C20" s="5" t="s">
        <v>7</v>
      </c>
      <c r="D20" s="5" t="s">
        <v>59</v>
      </c>
      <c r="E20" s="5" t="s">
        <v>61</v>
      </c>
      <c r="F20" s="23" t="s">
        <v>2</v>
      </c>
      <c r="G20" s="24">
        <v>3.25</v>
      </c>
      <c r="H20" s="25">
        <v>416</v>
      </c>
      <c r="I20" s="8">
        <v>16</v>
      </c>
      <c r="J20" s="35">
        <v>6656</v>
      </c>
      <c r="K20" s="35">
        <f t="shared" si="20"/>
        <v>21632</v>
      </c>
      <c r="L20" s="35">
        <f t="shared" si="4"/>
        <v>21952</v>
      </c>
      <c r="M20" s="26">
        <v>352</v>
      </c>
      <c r="N20" s="50">
        <f t="shared" si="21"/>
        <v>2342.9119999999998</v>
      </c>
      <c r="O20" s="113">
        <f t="shared" si="5"/>
        <v>0</v>
      </c>
      <c r="P20" s="113">
        <f t="shared" si="6"/>
        <v>0</v>
      </c>
      <c r="Q20" s="114">
        <f t="shared" si="7"/>
        <v>0</v>
      </c>
      <c r="R20" s="123">
        <f>N20/K20*$N$1</f>
        <v>0.14404923076923076</v>
      </c>
      <c r="S20" s="124">
        <v>0.17</v>
      </c>
      <c r="T20" s="124"/>
      <c r="U20" s="125">
        <f>S20*K20/$N$1</f>
        <v>2764.9924812030076</v>
      </c>
      <c r="V20" s="126">
        <f t="shared" si="9"/>
        <v>1373</v>
      </c>
      <c r="W20" s="115">
        <f>$W$7/N$2</f>
        <v>12.863390789812195</v>
      </c>
      <c r="X20" s="123">
        <f t="shared" si="0"/>
        <v>552.99849624060153</v>
      </c>
      <c r="Y20" s="123">
        <f t="shared" si="1"/>
        <v>597.23837593984967</v>
      </c>
      <c r="Z20" s="127">
        <f>$Z$7/$N$2</f>
        <v>231.54103421661952</v>
      </c>
      <c r="AA20" s="128">
        <f t="shared" si="12"/>
        <v>41.67738615899151</v>
      </c>
      <c r="AB20" s="128">
        <f t="shared" si="13"/>
        <v>638.91576209884124</v>
      </c>
      <c r="AC20" s="123">
        <f t="shared" si="2"/>
        <v>4513.3149212470325</v>
      </c>
      <c r="AD20" s="129">
        <f t="shared" si="14"/>
        <v>90.266298424940658</v>
      </c>
      <c r="AE20" s="129">
        <f t="shared" si="22"/>
        <v>4603.5812196719735</v>
      </c>
      <c r="AF20" s="129">
        <f t="shared" si="15"/>
        <v>828.6446195409552</v>
      </c>
      <c r="AG20" s="129">
        <f t="shared" si="16"/>
        <v>5432.2258392129288</v>
      </c>
      <c r="AH20" s="130">
        <f>AG20/J20</f>
        <v>0.81613969940098086</v>
      </c>
      <c r="AI20" s="130">
        <f t="shared" si="18"/>
        <v>31.723350115716123</v>
      </c>
      <c r="AJ20" s="128">
        <f t="shared" si="3"/>
        <v>3089.313839212929</v>
      </c>
      <c r="AK20" s="122">
        <f t="shared" si="19"/>
        <v>189.72885744211402</v>
      </c>
    </row>
    <row r="21" spans="1:37" x14ac:dyDescent="0.2">
      <c r="A21" s="22" t="s">
        <v>93</v>
      </c>
      <c r="B21" s="23" t="s">
        <v>4</v>
      </c>
      <c r="C21" s="5" t="s">
        <v>69</v>
      </c>
      <c r="D21" s="5" t="s">
        <v>60</v>
      </c>
      <c r="E21" s="5" t="s">
        <v>61</v>
      </c>
      <c r="F21" s="23" t="s">
        <v>2</v>
      </c>
      <c r="G21" s="24">
        <v>3.25</v>
      </c>
      <c r="H21" s="25">
        <v>416</v>
      </c>
      <c r="I21" s="8">
        <v>16</v>
      </c>
      <c r="J21" s="35">
        <v>6656</v>
      </c>
      <c r="K21" s="35">
        <f t="shared" si="20"/>
        <v>21632</v>
      </c>
      <c r="L21" s="35">
        <f t="shared" si="4"/>
        <v>21952</v>
      </c>
      <c r="M21" s="26">
        <v>352</v>
      </c>
      <c r="N21" s="50">
        <f t="shared" si="21"/>
        <v>2342.9119999999998</v>
      </c>
      <c r="O21" s="113">
        <f t="shared" si="5"/>
        <v>0</v>
      </c>
      <c r="P21" s="113">
        <f t="shared" si="6"/>
        <v>0</v>
      </c>
      <c r="Q21" s="114">
        <f t="shared" si="7"/>
        <v>0</v>
      </c>
      <c r="R21" s="123">
        <f>N21/K21*$N$1</f>
        <v>0.14404923076923076</v>
      </c>
      <c r="S21" s="124">
        <v>0.17</v>
      </c>
      <c r="T21" s="124"/>
      <c r="U21" s="125">
        <f>S21*K21/$N$1</f>
        <v>2764.9924812030076</v>
      </c>
      <c r="V21" s="126">
        <f t="shared" si="9"/>
        <v>1373</v>
      </c>
      <c r="W21" s="115">
        <f>$W$7/N$2</f>
        <v>12.863390789812195</v>
      </c>
      <c r="X21" s="123">
        <f t="shared" si="0"/>
        <v>552.99849624060153</v>
      </c>
      <c r="Y21" s="123">
        <f t="shared" si="1"/>
        <v>597.23837593984967</v>
      </c>
      <c r="Z21" s="127">
        <f>$Z$7/$N$2</f>
        <v>231.54103421661952</v>
      </c>
      <c r="AA21" s="128">
        <f t="shared" si="12"/>
        <v>41.67738615899151</v>
      </c>
      <c r="AB21" s="128">
        <f t="shared" si="13"/>
        <v>638.91576209884124</v>
      </c>
      <c r="AC21" s="123">
        <f t="shared" si="2"/>
        <v>4513.3149212470325</v>
      </c>
      <c r="AD21" s="129">
        <f t="shared" si="14"/>
        <v>90.266298424940658</v>
      </c>
      <c r="AE21" s="129">
        <f t="shared" si="22"/>
        <v>4603.5812196719735</v>
      </c>
      <c r="AF21" s="129">
        <f t="shared" si="15"/>
        <v>828.6446195409552</v>
      </c>
      <c r="AG21" s="129">
        <f t="shared" si="16"/>
        <v>5432.2258392129288</v>
      </c>
      <c r="AH21" s="130">
        <f>AG21/J21</f>
        <v>0.81613969940098086</v>
      </c>
      <c r="AI21" s="130">
        <f t="shared" si="18"/>
        <v>31.723350115716123</v>
      </c>
      <c r="AJ21" s="128">
        <f t="shared" si="3"/>
        <v>3089.313839212929</v>
      </c>
      <c r="AK21" s="122">
        <f t="shared" si="19"/>
        <v>189.72885744211402</v>
      </c>
    </row>
    <row r="22" spans="1:37" x14ac:dyDescent="0.2">
      <c r="A22" s="27" t="s">
        <v>146</v>
      </c>
      <c r="B22" s="8" t="s">
        <v>4</v>
      </c>
      <c r="C22" s="9" t="s">
        <v>145</v>
      </c>
      <c r="D22" s="9" t="s">
        <v>58</v>
      </c>
      <c r="E22" s="9" t="s">
        <v>61</v>
      </c>
      <c r="F22" s="8" t="s">
        <v>3</v>
      </c>
      <c r="G22" s="24">
        <v>2.7</v>
      </c>
      <c r="H22" s="25">
        <v>420</v>
      </c>
      <c r="I22" s="8">
        <v>19</v>
      </c>
      <c r="J22" s="35">
        <v>7980</v>
      </c>
      <c r="K22" s="35">
        <f t="shared" si="20"/>
        <v>21546</v>
      </c>
      <c r="L22" s="35">
        <f t="shared" si="4"/>
        <v>21926</v>
      </c>
      <c r="M22" s="26">
        <v>337</v>
      </c>
      <c r="N22" s="50">
        <f t="shared" si="21"/>
        <v>2689.26</v>
      </c>
      <c r="O22" s="113">
        <f t="shared" si="5"/>
        <v>0</v>
      </c>
      <c r="P22" s="113">
        <f t="shared" si="6"/>
        <v>0</v>
      </c>
      <c r="Q22" s="114">
        <f t="shared" si="7"/>
        <v>0</v>
      </c>
      <c r="R22" s="123">
        <f>N22/K22*$N$1</f>
        <v>0.16600370370370374</v>
      </c>
      <c r="S22" s="124">
        <v>0.17</v>
      </c>
      <c r="T22" s="124"/>
      <c r="U22" s="125">
        <f>N22</f>
        <v>2689.26</v>
      </c>
      <c r="V22" s="126">
        <f t="shared" si="9"/>
        <v>1373</v>
      </c>
      <c r="W22" s="115">
        <f>$W$7/N$2</f>
        <v>12.863390789812195</v>
      </c>
      <c r="X22" s="123">
        <f t="shared" si="0"/>
        <v>537.85200000000009</v>
      </c>
      <c r="Y22" s="123">
        <f t="shared" si="1"/>
        <v>580.88016000000005</v>
      </c>
      <c r="Z22" s="127">
        <f>$Z$7/$N$2</f>
        <v>231.54103421661952</v>
      </c>
      <c r="AA22" s="128">
        <f t="shared" si="12"/>
        <v>41.67738615899151</v>
      </c>
      <c r="AB22" s="128">
        <f t="shared" si="13"/>
        <v>622.5575461589915</v>
      </c>
      <c r="AC22" s="123">
        <f t="shared" si="2"/>
        <v>4844.5164250064317</v>
      </c>
      <c r="AD22" s="129">
        <f t="shared" si="14"/>
        <v>96.890328500128632</v>
      </c>
      <c r="AE22" s="129">
        <f t="shared" si="22"/>
        <v>4941.4067535065606</v>
      </c>
      <c r="AF22" s="129">
        <f t="shared" si="15"/>
        <v>889.45321563118091</v>
      </c>
      <c r="AG22" s="129">
        <f t="shared" si="16"/>
        <v>5830.8599691377412</v>
      </c>
      <c r="AH22" s="130">
        <f>AG22/J22</f>
        <v>0.7306842066588648</v>
      </c>
      <c r="AI22" s="130">
        <f t="shared" si="18"/>
        <v>28.401695112830073</v>
      </c>
      <c r="AJ22" s="128">
        <f t="shared" si="3"/>
        <v>3141.599969137741</v>
      </c>
      <c r="AK22" s="122">
        <f t="shared" si="19"/>
        <v>266.89566947218935</v>
      </c>
    </row>
    <row r="23" spans="1:37" x14ac:dyDescent="0.2">
      <c r="A23" s="142"/>
      <c r="B23" s="143"/>
      <c r="C23" s="144"/>
      <c r="D23" s="144"/>
      <c r="E23" s="144"/>
      <c r="F23" s="143"/>
      <c r="G23" s="145"/>
      <c r="H23" s="146"/>
      <c r="I23" s="143"/>
      <c r="J23" s="148"/>
      <c r="K23" s="149"/>
      <c r="L23" s="149"/>
      <c r="M23" s="150"/>
      <c r="N23" s="151"/>
      <c r="O23" s="152"/>
      <c r="P23" s="152"/>
      <c r="Q23" s="153"/>
      <c r="R23" s="154"/>
      <c r="S23" s="155"/>
      <c r="T23" s="155"/>
      <c r="U23" s="156"/>
      <c r="V23" s="157"/>
      <c r="W23" s="154"/>
      <c r="X23" s="123">
        <f t="shared" si="0"/>
        <v>0</v>
      </c>
      <c r="Y23" s="123">
        <f t="shared" si="1"/>
        <v>0</v>
      </c>
      <c r="Z23" s="158"/>
      <c r="AA23" s="159"/>
      <c r="AB23" s="159"/>
      <c r="AC23" s="123">
        <f t="shared" si="2"/>
        <v>0</v>
      </c>
      <c r="AD23" s="154"/>
      <c r="AE23" s="154"/>
      <c r="AF23" s="154"/>
      <c r="AG23" s="154"/>
      <c r="AH23" s="160"/>
      <c r="AI23" s="160"/>
      <c r="AJ23" s="128">
        <f t="shared" si="3"/>
        <v>0</v>
      </c>
      <c r="AK23" s="161"/>
    </row>
    <row r="24" spans="1:37" x14ac:dyDescent="0.2">
      <c r="A24" s="22" t="s">
        <v>94</v>
      </c>
      <c r="B24" s="23" t="s">
        <v>4</v>
      </c>
      <c r="C24" s="5" t="s">
        <v>8</v>
      </c>
      <c r="D24" s="5" t="s">
        <v>56</v>
      </c>
      <c r="E24" s="5" t="s">
        <v>62</v>
      </c>
      <c r="F24" s="23" t="s">
        <v>2</v>
      </c>
      <c r="G24" s="24">
        <v>3.15</v>
      </c>
      <c r="H24" s="25">
        <v>416</v>
      </c>
      <c r="I24" s="8">
        <v>16</v>
      </c>
      <c r="J24" s="35">
        <v>6656</v>
      </c>
      <c r="K24" s="35">
        <f t="shared" si="20"/>
        <v>20966.399999999998</v>
      </c>
      <c r="L24" s="35">
        <f t="shared" si="4"/>
        <v>21286.399999999998</v>
      </c>
      <c r="M24" s="26">
        <v>275</v>
      </c>
      <c r="N24" s="50">
        <f t="shared" si="21"/>
        <v>1830.4</v>
      </c>
      <c r="O24" s="113">
        <f t="shared" si="5"/>
        <v>0</v>
      </c>
      <c r="P24" s="113">
        <f t="shared" si="6"/>
        <v>0</v>
      </c>
      <c r="Q24" s="114">
        <f t="shared" si="7"/>
        <v>0</v>
      </c>
      <c r="R24" s="123">
        <f>N24/K24*$N$1</f>
        <v>0.11611111111111112</v>
      </c>
      <c r="S24" s="124">
        <v>0.17</v>
      </c>
      <c r="T24" s="124"/>
      <c r="U24" s="125">
        <f>S24*K24/$N$1</f>
        <v>2679.9157894736841</v>
      </c>
      <c r="V24" s="126">
        <f t="shared" si="9"/>
        <v>1373</v>
      </c>
      <c r="W24" s="115">
        <f>$W$7/N$2</f>
        <v>12.863390789812195</v>
      </c>
      <c r="X24" s="123">
        <f t="shared" si="0"/>
        <v>535.98315789473679</v>
      </c>
      <c r="Y24" s="123">
        <f t="shared" si="1"/>
        <v>578.86181052631571</v>
      </c>
      <c r="Z24" s="127">
        <f>$Z$7/$N$2</f>
        <v>231.54103421661952</v>
      </c>
      <c r="AA24" s="128">
        <f t="shared" si="12"/>
        <v>41.67738615899151</v>
      </c>
      <c r="AB24" s="128">
        <f t="shared" si="13"/>
        <v>620.53919668530716</v>
      </c>
      <c r="AC24" s="123">
        <f t="shared" si="2"/>
        <v>3983.7875829011687</v>
      </c>
      <c r="AD24" s="129">
        <f t="shared" si="14"/>
        <v>79.675751658023373</v>
      </c>
      <c r="AE24" s="129">
        <f t="shared" si="22"/>
        <v>4063.4633345591919</v>
      </c>
      <c r="AF24" s="129">
        <f t="shared" si="15"/>
        <v>731.42340022065457</v>
      </c>
      <c r="AG24" s="129">
        <f t="shared" si="16"/>
        <v>4794.8867347798468</v>
      </c>
      <c r="AH24" s="130">
        <f>AG24/J24</f>
        <v>0.7203856272205299</v>
      </c>
      <c r="AI24" s="130">
        <f t="shared" si="18"/>
        <v>28.001389330061997</v>
      </c>
      <c r="AJ24" s="128">
        <f t="shared" si="3"/>
        <v>2964.4867347798468</v>
      </c>
      <c r="AK24" s="122">
        <f t="shared" si="19"/>
        <v>110.88420353534735</v>
      </c>
    </row>
    <row r="25" spans="1:37" x14ac:dyDescent="0.2">
      <c r="A25" s="22" t="s">
        <v>95</v>
      </c>
      <c r="B25" s="23" t="s">
        <v>4</v>
      </c>
      <c r="C25" s="5" t="s">
        <v>9</v>
      </c>
      <c r="D25" s="5" t="s">
        <v>59</v>
      </c>
      <c r="E25" s="5" t="s">
        <v>62</v>
      </c>
      <c r="F25" s="23" t="s">
        <v>2</v>
      </c>
      <c r="G25" s="24">
        <v>3.25</v>
      </c>
      <c r="H25" s="25">
        <v>416</v>
      </c>
      <c r="I25" s="8">
        <v>16</v>
      </c>
      <c r="J25" s="35">
        <v>6656</v>
      </c>
      <c r="K25" s="35">
        <f t="shared" si="20"/>
        <v>21632</v>
      </c>
      <c r="L25" s="35">
        <f t="shared" si="4"/>
        <v>21952</v>
      </c>
      <c r="M25" s="26">
        <v>352</v>
      </c>
      <c r="N25" s="50">
        <f t="shared" si="21"/>
        <v>2342.9119999999998</v>
      </c>
      <c r="O25" s="113">
        <f t="shared" si="5"/>
        <v>0</v>
      </c>
      <c r="P25" s="113">
        <f t="shared" si="6"/>
        <v>0</v>
      </c>
      <c r="Q25" s="114">
        <f t="shared" si="7"/>
        <v>0</v>
      </c>
      <c r="R25" s="123">
        <f>N25/K25*$N$1</f>
        <v>0.14404923076923076</v>
      </c>
      <c r="S25" s="124">
        <v>0.17</v>
      </c>
      <c r="T25" s="124"/>
      <c r="U25" s="125">
        <f>S25*K25/$N$1</f>
        <v>2764.9924812030076</v>
      </c>
      <c r="V25" s="126">
        <f t="shared" si="9"/>
        <v>1373</v>
      </c>
      <c r="W25" s="115">
        <f>$W$7/N$2</f>
        <v>12.863390789812195</v>
      </c>
      <c r="X25" s="123">
        <f t="shared" si="0"/>
        <v>552.99849624060153</v>
      </c>
      <c r="Y25" s="123">
        <f t="shared" si="1"/>
        <v>597.23837593984967</v>
      </c>
      <c r="Z25" s="127">
        <f>$Z$7/$N$2</f>
        <v>231.54103421661952</v>
      </c>
      <c r="AA25" s="128">
        <f t="shared" si="12"/>
        <v>41.67738615899151</v>
      </c>
      <c r="AB25" s="128">
        <f t="shared" si="13"/>
        <v>638.91576209884124</v>
      </c>
      <c r="AC25" s="123">
        <f t="shared" si="2"/>
        <v>4513.3149212470325</v>
      </c>
      <c r="AD25" s="129">
        <f t="shared" si="14"/>
        <v>90.266298424940658</v>
      </c>
      <c r="AE25" s="129">
        <f t="shared" si="22"/>
        <v>4603.5812196719735</v>
      </c>
      <c r="AF25" s="129">
        <f t="shared" si="15"/>
        <v>828.6446195409552</v>
      </c>
      <c r="AG25" s="129">
        <f t="shared" si="16"/>
        <v>5432.2258392129288</v>
      </c>
      <c r="AH25" s="130">
        <f>AG25/J25</f>
        <v>0.81613969940098086</v>
      </c>
      <c r="AI25" s="130">
        <f t="shared" si="18"/>
        <v>31.723350115716123</v>
      </c>
      <c r="AJ25" s="128">
        <f t="shared" si="3"/>
        <v>3089.313839212929</v>
      </c>
      <c r="AK25" s="122">
        <f t="shared" si="19"/>
        <v>189.72885744211402</v>
      </c>
    </row>
    <row r="26" spans="1:37" x14ac:dyDescent="0.2">
      <c r="A26" s="27" t="s">
        <v>96</v>
      </c>
      <c r="B26" s="23" t="s">
        <v>4</v>
      </c>
      <c r="C26" s="5" t="s">
        <v>10</v>
      </c>
      <c r="D26" s="9" t="s">
        <v>56</v>
      </c>
      <c r="E26" s="9" t="s">
        <v>63</v>
      </c>
      <c r="F26" s="8" t="s">
        <v>2</v>
      </c>
      <c r="G26" s="24">
        <v>3.15</v>
      </c>
      <c r="H26" s="25">
        <v>416</v>
      </c>
      <c r="I26" s="8">
        <v>16</v>
      </c>
      <c r="J26" s="35">
        <v>6656</v>
      </c>
      <c r="K26" s="35">
        <f t="shared" si="20"/>
        <v>20966.399999999998</v>
      </c>
      <c r="L26" s="35">
        <f t="shared" si="4"/>
        <v>21286.399999999998</v>
      </c>
      <c r="M26" s="26">
        <v>275</v>
      </c>
      <c r="N26" s="50">
        <f t="shared" si="21"/>
        <v>1830.4</v>
      </c>
      <c r="O26" s="113">
        <f t="shared" si="5"/>
        <v>0</v>
      </c>
      <c r="P26" s="113">
        <f t="shared" si="6"/>
        <v>0</v>
      </c>
      <c r="Q26" s="114">
        <f t="shared" si="7"/>
        <v>0</v>
      </c>
      <c r="R26" s="123">
        <f>N26/K26*$N$1</f>
        <v>0.11611111111111112</v>
      </c>
      <c r="S26" s="124">
        <v>0.17</v>
      </c>
      <c r="T26" s="124"/>
      <c r="U26" s="125">
        <f>S26*K26/$N$1</f>
        <v>2679.9157894736841</v>
      </c>
      <c r="V26" s="126">
        <f t="shared" si="9"/>
        <v>1373</v>
      </c>
      <c r="W26" s="115">
        <f>$W$7/N$2</f>
        <v>12.863390789812195</v>
      </c>
      <c r="X26" s="123">
        <f t="shared" si="0"/>
        <v>535.98315789473679</v>
      </c>
      <c r="Y26" s="123">
        <f t="shared" si="1"/>
        <v>578.86181052631571</v>
      </c>
      <c r="Z26" s="127">
        <f>$Z$7/$N$2</f>
        <v>231.54103421661952</v>
      </c>
      <c r="AA26" s="128">
        <f t="shared" si="12"/>
        <v>41.67738615899151</v>
      </c>
      <c r="AB26" s="128">
        <f t="shared" si="13"/>
        <v>620.53919668530716</v>
      </c>
      <c r="AC26" s="123">
        <f t="shared" si="2"/>
        <v>3983.7875829011687</v>
      </c>
      <c r="AD26" s="129">
        <f t="shared" si="14"/>
        <v>79.675751658023373</v>
      </c>
      <c r="AE26" s="129">
        <f t="shared" si="22"/>
        <v>4063.4633345591919</v>
      </c>
      <c r="AF26" s="129">
        <f t="shared" si="15"/>
        <v>731.42340022065457</v>
      </c>
      <c r="AG26" s="129">
        <f t="shared" si="16"/>
        <v>4794.8867347798468</v>
      </c>
      <c r="AH26" s="130">
        <f>AG26/J26</f>
        <v>0.7203856272205299</v>
      </c>
      <c r="AI26" s="130">
        <f t="shared" si="18"/>
        <v>28.001389330061997</v>
      </c>
      <c r="AJ26" s="128">
        <f t="shared" si="3"/>
        <v>2964.4867347798468</v>
      </c>
      <c r="AK26" s="122">
        <f t="shared" si="19"/>
        <v>110.88420353534735</v>
      </c>
    </row>
    <row r="27" spans="1:37" x14ac:dyDescent="0.2">
      <c r="A27" s="22" t="s">
        <v>97</v>
      </c>
      <c r="B27" s="23" t="s">
        <v>4</v>
      </c>
      <c r="C27" s="5" t="s">
        <v>64</v>
      </c>
      <c r="D27" s="5" t="s">
        <v>56</v>
      </c>
      <c r="E27" s="5" t="s">
        <v>57</v>
      </c>
      <c r="F27" s="23" t="s">
        <v>2</v>
      </c>
      <c r="G27" s="24">
        <v>3</v>
      </c>
      <c r="H27" s="25">
        <v>416</v>
      </c>
      <c r="I27" s="8">
        <v>17</v>
      </c>
      <c r="J27" s="35">
        <v>7072</v>
      </c>
      <c r="K27" s="35">
        <f t="shared" si="20"/>
        <v>21216</v>
      </c>
      <c r="L27" s="35">
        <f t="shared" si="4"/>
        <v>21556</v>
      </c>
      <c r="M27" s="26">
        <v>352</v>
      </c>
      <c r="N27" s="50">
        <f t="shared" si="21"/>
        <v>2489.3440000000001</v>
      </c>
      <c r="O27" s="113">
        <f t="shared" si="5"/>
        <v>0</v>
      </c>
      <c r="P27" s="113">
        <f t="shared" si="6"/>
        <v>0</v>
      </c>
      <c r="Q27" s="114">
        <f t="shared" si="7"/>
        <v>0</v>
      </c>
      <c r="R27" s="123">
        <f>N27/K27*$N$1</f>
        <v>0.15605333333333335</v>
      </c>
      <c r="S27" s="124">
        <v>0.17</v>
      </c>
      <c r="T27" s="124"/>
      <c r="U27" s="125">
        <f>S27*K27/$N$1</f>
        <v>2711.8195488721803</v>
      </c>
      <c r="V27" s="126">
        <f t="shared" si="9"/>
        <v>1373</v>
      </c>
      <c r="W27" s="115">
        <f>$W$7/N$2</f>
        <v>12.863390789812195</v>
      </c>
      <c r="X27" s="123">
        <f t="shared" si="0"/>
        <v>542.36390977443614</v>
      </c>
      <c r="Y27" s="123">
        <f t="shared" si="1"/>
        <v>585.75302255639099</v>
      </c>
      <c r="Z27" s="127">
        <f>$Z$7/$N$2</f>
        <v>231.54103421661952</v>
      </c>
      <c r="AA27" s="128">
        <f t="shared" si="12"/>
        <v>41.67738615899151</v>
      </c>
      <c r="AB27" s="128">
        <f t="shared" si="13"/>
        <v>627.43040871538255</v>
      </c>
      <c r="AC27" s="123">
        <f t="shared" si="2"/>
        <v>4649.112334780868</v>
      </c>
      <c r="AD27" s="129">
        <f t="shared" si="14"/>
        <v>92.982246695617363</v>
      </c>
      <c r="AE27" s="129">
        <f t="shared" si="22"/>
        <v>4742.0945814764855</v>
      </c>
      <c r="AF27" s="129">
        <f t="shared" si="15"/>
        <v>853.57702466576734</v>
      </c>
      <c r="AG27" s="129">
        <f t="shared" si="16"/>
        <v>5595.671606142253</v>
      </c>
      <c r="AH27" s="130">
        <f>AG27/J27</f>
        <v>0.79124315697712855</v>
      </c>
      <c r="AI27" s="130">
        <f t="shared" si="18"/>
        <v>30.755621511700983</v>
      </c>
      <c r="AJ27" s="128">
        <f t="shared" si="3"/>
        <v>3106.327606142253</v>
      </c>
      <c r="AK27" s="122">
        <f t="shared" si="19"/>
        <v>226.14661595038484</v>
      </c>
    </row>
    <row r="28" spans="1:37" x14ac:dyDescent="0.2">
      <c r="A28" s="189"/>
      <c r="B28" s="190"/>
      <c r="C28" s="191"/>
      <c r="D28" s="191"/>
      <c r="E28" s="191"/>
      <c r="F28" s="190"/>
      <c r="G28" s="145"/>
      <c r="H28" s="146"/>
      <c r="I28" s="143"/>
      <c r="J28" s="148"/>
      <c r="K28" s="149"/>
      <c r="L28" s="149"/>
      <c r="M28" s="188"/>
      <c r="N28" s="151"/>
      <c r="O28" s="152"/>
      <c r="P28" s="152"/>
      <c r="Q28" s="153"/>
      <c r="R28" s="154"/>
      <c r="S28" s="155"/>
      <c r="T28" s="155"/>
      <c r="U28" s="156"/>
      <c r="V28" s="157"/>
      <c r="W28" s="154"/>
      <c r="X28" s="123">
        <f t="shared" si="0"/>
        <v>0</v>
      </c>
      <c r="Y28" s="123">
        <f t="shared" si="1"/>
        <v>0</v>
      </c>
      <c r="Z28" s="158"/>
      <c r="AA28" s="159"/>
      <c r="AB28" s="159"/>
      <c r="AC28" s="123">
        <f t="shared" si="2"/>
        <v>0</v>
      </c>
      <c r="AD28" s="154"/>
      <c r="AE28" s="154"/>
      <c r="AF28" s="154"/>
      <c r="AG28" s="154"/>
      <c r="AH28" s="160"/>
      <c r="AI28" s="160"/>
      <c r="AJ28" s="128">
        <f t="shared" si="3"/>
        <v>0</v>
      </c>
      <c r="AK28" s="161"/>
    </row>
    <row r="29" spans="1:37" x14ac:dyDescent="0.2">
      <c r="A29" s="22" t="s">
        <v>98</v>
      </c>
      <c r="B29" s="23" t="s">
        <v>11</v>
      </c>
      <c r="C29" s="5" t="s">
        <v>1</v>
      </c>
      <c r="D29" s="5" t="s">
        <v>56</v>
      </c>
      <c r="E29" s="5" t="s">
        <v>57</v>
      </c>
      <c r="F29" s="23" t="s">
        <v>2</v>
      </c>
      <c r="G29" s="24">
        <v>1.7</v>
      </c>
      <c r="H29" s="25">
        <v>720</v>
      </c>
      <c r="I29" s="8">
        <v>17</v>
      </c>
      <c r="J29" s="35">
        <v>12240</v>
      </c>
      <c r="K29" s="35">
        <f t="shared" si="20"/>
        <v>20808</v>
      </c>
      <c r="L29" s="35">
        <f t="shared" si="4"/>
        <v>21148</v>
      </c>
      <c r="M29" s="26">
        <v>199</v>
      </c>
      <c r="N29" s="50">
        <f t="shared" si="21"/>
        <v>2435.7600000000002</v>
      </c>
      <c r="O29" s="113">
        <f t="shared" si="5"/>
        <v>0</v>
      </c>
      <c r="P29" s="113">
        <f t="shared" si="6"/>
        <v>0</v>
      </c>
      <c r="Q29" s="114">
        <f t="shared" si="7"/>
        <v>0</v>
      </c>
      <c r="R29" s="123">
        <f>N29/K29*$N$1</f>
        <v>0.15568823529411766</v>
      </c>
      <c r="S29" s="124">
        <v>0.17</v>
      </c>
      <c r="T29" s="124"/>
      <c r="U29" s="125">
        <f>S29*K29/$N$1</f>
        <v>2659.6691729323306</v>
      </c>
      <c r="V29" s="126">
        <f t="shared" si="9"/>
        <v>1373</v>
      </c>
      <c r="W29" s="115">
        <f>$W$7/N$2</f>
        <v>12.863390789812195</v>
      </c>
      <c r="X29" s="123">
        <f t="shared" si="0"/>
        <v>531.93383458646611</v>
      </c>
      <c r="Y29" s="123">
        <f t="shared" si="1"/>
        <v>574.48854135338343</v>
      </c>
      <c r="Z29" s="127">
        <f>$Z$7/$N$2</f>
        <v>231.54103421661952</v>
      </c>
      <c r="AA29" s="128">
        <f t="shared" si="12"/>
        <v>41.67738615899151</v>
      </c>
      <c r="AB29" s="128">
        <f t="shared" si="13"/>
        <v>616.16592751237499</v>
      </c>
      <c r="AC29" s="123">
        <f t="shared" si="2"/>
        <v>4585.0982595928981</v>
      </c>
      <c r="AD29" s="129">
        <f t="shared" si="14"/>
        <v>91.701965191857965</v>
      </c>
      <c r="AE29" s="129">
        <f t="shared" si="22"/>
        <v>4676.8002247847562</v>
      </c>
      <c r="AF29" s="129">
        <f t="shared" si="15"/>
        <v>841.82404046125612</v>
      </c>
      <c r="AG29" s="129">
        <f t="shared" si="16"/>
        <v>5518.6242652460123</v>
      </c>
      <c r="AH29" s="130">
        <f>AG29/J29</f>
        <v>0.45086799552663498</v>
      </c>
      <c r="AI29" s="130">
        <f t="shared" si="18"/>
        <v>17.5252389861203</v>
      </c>
      <c r="AJ29" s="128">
        <f t="shared" si="3"/>
        <v>3082.8642652460121</v>
      </c>
      <c r="AK29" s="122">
        <f t="shared" si="19"/>
        <v>225.65811294888118</v>
      </c>
    </row>
    <row r="30" spans="1:37" x14ac:dyDescent="0.2">
      <c r="A30" s="27" t="s">
        <v>99</v>
      </c>
      <c r="B30" s="8" t="s">
        <v>11</v>
      </c>
      <c r="C30" s="9" t="s">
        <v>6</v>
      </c>
      <c r="D30" s="9" t="s">
        <v>56</v>
      </c>
      <c r="E30" s="9" t="s">
        <v>61</v>
      </c>
      <c r="F30" s="8" t="s">
        <v>2</v>
      </c>
      <c r="G30" s="24">
        <v>1.7</v>
      </c>
      <c r="H30" s="25">
        <v>720</v>
      </c>
      <c r="I30" s="8">
        <v>17</v>
      </c>
      <c r="J30" s="35">
        <v>12240</v>
      </c>
      <c r="K30" s="35">
        <f t="shared" si="20"/>
        <v>20808</v>
      </c>
      <c r="L30" s="35">
        <f t="shared" si="4"/>
        <v>21148</v>
      </c>
      <c r="M30" s="26">
        <v>199</v>
      </c>
      <c r="N30" s="50">
        <f t="shared" si="21"/>
        <v>2435.7600000000002</v>
      </c>
      <c r="O30" s="113">
        <f t="shared" si="5"/>
        <v>0</v>
      </c>
      <c r="P30" s="113">
        <f t="shared" si="6"/>
        <v>0</v>
      </c>
      <c r="Q30" s="114">
        <f t="shared" si="7"/>
        <v>0</v>
      </c>
      <c r="R30" s="123">
        <f>N30/K30*$N$1</f>
        <v>0.15568823529411766</v>
      </c>
      <c r="S30" s="124">
        <v>0.17</v>
      </c>
      <c r="T30" s="124"/>
      <c r="U30" s="125">
        <f>S30*K30/$N$1</f>
        <v>2659.6691729323306</v>
      </c>
      <c r="V30" s="126">
        <f t="shared" si="9"/>
        <v>1373</v>
      </c>
      <c r="W30" s="115">
        <f>$W$7/N$2</f>
        <v>12.863390789812195</v>
      </c>
      <c r="X30" s="123">
        <f t="shared" si="0"/>
        <v>531.93383458646611</v>
      </c>
      <c r="Y30" s="123">
        <f t="shared" si="1"/>
        <v>574.48854135338343</v>
      </c>
      <c r="Z30" s="127">
        <f>$Z$7/$N$2</f>
        <v>231.54103421661952</v>
      </c>
      <c r="AA30" s="128">
        <f t="shared" si="12"/>
        <v>41.67738615899151</v>
      </c>
      <c r="AB30" s="128">
        <f t="shared" si="13"/>
        <v>616.16592751237499</v>
      </c>
      <c r="AC30" s="123">
        <f t="shared" si="2"/>
        <v>4585.0982595928981</v>
      </c>
      <c r="AD30" s="129">
        <f t="shared" si="14"/>
        <v>91.701965191857965</v>
      </c>
      <c r="AE30" s="129">
        <f t="shared" si="22"/>
        <v>4676.8002247847562</v>
      </c>
      <c r="AF30" s="129">
        <f t="shared" si="15"/>
        <v>841.82404046125612</v>
      </c>
      <c r="AG30" s="129">
        <f t="shared" si="16"/>
        <v>5518.6242652460123</v>
      </c>
      <c r="AH30" s="130">
        <f>AG30/J30</f>
        <v>0.45086799552663498</v>
      </c>
      <c r="AI30" s="130">
        <f t="shared" si="18"/>
        <v>17.5252389861203</v>
      </c>
      <c r="AJ30" s="128">
        <f t="shared" si="3"/>
        <v>3082.8642652460121</v>
      </c>
      <c r="AK30" s="122">
        <f t="shared" si="19"/>
        <v>225.65811294888118</v>
      </c>
    </row>
    <row r="31" spans="1:37" x14ac:dyDescent="0.2">
      <c r="A31" s="142"/>
      <c r="B31" s="143"/>
      <c r="C31" s="144"/>
      <c r="D31" s="144"/>
      <c r="E31" s="144"/>
      <c r="F31" s="143"/>
      <c r="G31" s="145"/>
      <c r="H31" s="146"/>
      <c r="I31" s="147"/>
      <c r="J31" s="148"/>
      <c r="K31" s="149"/>
      <c r="L31" s="149"/>
      <c r="M31" s="188"/>
      <c r="N31" s="151"/>
      <c r="O31" s="152"/>
      <c r="P31" s="152"/>
      <c r="Q31" s="153"/>
      <c r="R31" s="154"/>
      <c r="S31" s="155"/>
      <c r="T31" s="155"/>
      <c r="U31" s="156"/>
      <c r="V31" s="157"/>
      <c r="W31" s="154"/>
      <c r="X31" s="123">
        <f t="shared" si="0"/>
        <v>0</v>
      </c>
      <c r="Y31" s="123">
        <f t="shared" si="1"/>
        <v>0</v>
      </c>
      <c r="Z31" s="158"/>
      <c r="AA31" s="159"/>
      <c r="AB31" s="159"/>
      <c r="AC31" s="123">
        <f t="shared" si="2"/>
        <v>0</v>
      </c>
      <c r="AD31" s="154"/>
      <c r="AE31" s="154"/>
      <c r="AF31" s="154"/>
      <c r="AG31" s="154"/>
      <c r="AH31" s="160"/>
      <c r="AI31" s="160"/>
      <c r="AJ31" s="128">
        <f t="shared" si="3"/>
        <v>0</v>
      </c>
      <c r="AK31" s="161"/>
    </row>
    <row r="32" spans="1:37" x14ac:dyDescent="0.2">
      <c r="A32" s="38" t="s">
        <v>100</v>
      </c>
      <c r="B32" s="39" t="s">
        <v>12</v>
      </c>
      <c r="C32" s="40" t="s">
        <v>1</v>
      </c>
      <c r="D32" s="40" t="s">
        <v>56</v>
      </c>
      <c r="E32" s="40" t="s">
        <v>57</v>
      </c>
      <c r="F32" s="39" t="s">
        <v>2</v>
      </c>
      <c r="G32" s="41">
        <v>2.15</v>
      </c>
      <c r="H32" s="42">
        <v>600</v>
      </c>
      <c r="I32" s="43">
        <v>16</v>
      </c>
      <c r="J32" s="44">
        <v>9600</v>
      </c>
      <c r="K32" s="44">
        <f t="shared" si="20"/>
        <v>20640</v>
      </c>
      <c r="L32" s="44">
        <f t="shared" si="4"/>
        <v>20960</v>
      </c>
      <c r="M32" s="45">
        <v>200</v>
      </c>
      <c r="N32" s="168">
        <f t="shared" si="21"/>
        <v>1920</v>
      </c>
      <c r="O32" s="169">
        <f t="shared" si="5"/>
        <v>0</v>
      </c>
      <c r="P32" s="169">
        <f t="shared" si="6"/>
        <v>0</v>
      </c>
      <c r="Q32" s="170">
        <f t="shared" si="7"/>
        <v>0</v>
      </c>
      <c r="R32" s="171">
        <f t="shared" ref="R32:R40" si="23">N32/K32*$N$1</f>
        <v>0.12372093023255815</v>
      </c>
      <c r="S32" s="172">
        <v>0.17</v>
      </c>
      <c r="T32" s="172"/>
      <c r="U32" s="125">
        <f>S32*K32/$N$1</f>
        <v>2638.1954887218044</v>
      </c>
      <c r="V32" s="174">
        <f t="shared" si="9"/>
        <v>1373</v>
      </c>
      <c r="W32" s="171">
        <f t="shared" ref="W32:W40" si="24">$W$7/N$2</f>
        <v>12.863390789812195</v>
      </c>
      <c r="X32" s="123">
        <f t="shared" si="0"/>
        <v>527.63909774436092</v>
      </c>
      <c r="Y32" s="123">
        <f t="shared" si="1"/>
        <v>569.8502255639097</v>
      </c>
      <c r="Z32" s="175">
        <f t="shared" ref="Z32:Z40" si="25">$Z$7/$N$2</f>
        <v>231.54103421661952</v>
      </c>
      <c r="AA32" s="176">
        <f t="shared" si="12"/>
        <v>41.67738615899151</v>
      </c>
      <c r="AB32" s="176">
        <f t="shared" si="13"/>
        <v>611.52761172290116</v>
      </c>
      <c r="AC32" s="123">
        <f t="shared" si="2"/>
        <v>4065.0435227507924</v>
      </c>
      <c r="AD32" s="171">
        <f t="shared" si="14"/>
        <v>81.300870455015854</v>
      </c>
      <c r="AE32" s="171">
        <f t="shared" si="22"/>
        <v>4146.344393205808</v>
      </c>
      <c r="AF32" s="171">
        <f t="shared" si="15"/>
        <v>746.34199077704545</v>
      </c>
      <c r="AG32" s="171">
        <f t="shared" si="16"/>
        <v>4892.6863839828538</v>
      </c>
      <c r="AH32" s="177">
        <f t="shared" ref="AH32:AH40" si="26">AG32/J32</f>
        <v>0.50965483166488057</v>
      </c>
      <c r="AI32" s="130">
        <f t="shared" si="18"/>
        <v>19.810283306813908</v>
      </c>
      <c r="AJ32" s="128">
        <f t="shared" si="3"/>
        <v>2972.6863839828538</v>
      </c>
      <c r="AK32" s="178">
        <f t="shared" si="19"/>
        <v>134.81437905414424</v>
      </c>
    </row>
    <row r="33" spans="1:37" x14ac:dyDescent="0.2">
      <c r="A33" s="38" t="s">
        <v>101</v>
      </c>
      <c r="B33" s="39" t="s">
        <v>12</v>
      </c>
      <c r="C33" s="40" t="s">
        <v>5</v>
      </c>
      <c r="D33" s="40" t="s">
        <v>59</v>
      </c>
      <c r="E33" s="40" t="s">
        <v>57</v>
      </c>
      <c r="F33" s="39" t="s">
        <v>2</v>
      </c>
      <c r="G33" s="41">
        <v>2.25</v>
      </c>
      <c r="H33" s="42">
        <v>600</v>
      </c>
      <c r="I33" s="43">
        <v>16</v>
      </c>
      <c r="J33" s="44">
        <v>9600</v>
      </c>
      <c r="K33" s="44">
        <f t="shared" si="20"/>
        <v>21600</v>
      </c>
      <c r="L33" s="44">
        <f t="shared" si="4"/>
        <v>21920</v>
      </c>
      <c r="M33" s="45">
        <v>220</v>
      </c>
      <c r="N33" s="168">
        <f t="shared" si="21"/>
        <v>2112</v>
      </c>
      <c r="O33" s="169">
        <f t="shared" si="5"/>
        <v>0</v>
      </c>
      <c r="P33" s="169">
        <f t="shared" si="6"/>
        <v>0</v>
      </c>
      <c r="Q33" s="170">
        <f t="shared" si="7"/>
        <v>0</v>
      </c>
      <c r="R33" s="171">
        <f t="shared" si="23"/>
        <v>0.13004444444444446</v>
      </c>
      <c r="S33" s="172">
        <v>0.17</v>
      </c>
      <c r="T33" s="172"/>
      <c r="U33" s="125">
        <f>S33*K33/$N$1</f>
        <v>2760.9022556390978</v>
      </c>
      <c r="V33" s="174">
        <f t="shared" si="9"/>
        <v>1373</v>
      </c>
      <c r="W33" s="171">
        <f t="shared" si="24"/>
        <v>12.863390789812195</v>
      </c>
      <c r="X33" s="123">
        <f t="shared" si="0"/>
        <v>552.18045112781954</v>
      </c>
      <c r="Y33" s="123">
        <f t="shared" si="1"/>
        <v>596.35488721804506</v>
      </c>
      <c r="Z33" s="175">
        <f t="shared" si="25"/>
        <v>231.54103421661952</v>
      </c>
      <c r="AA33" s="176">
        <f t="shared" si="12"/>
        <v>41.67738615899151</v>
      </c>
      <c r="AB33" s="176">
        <f t="shared" si="13"/>
        <v>638.03227337703652</v>
      </c>
      <c r="AC33" s="123">
        <f t="shared" si="2"/>
        <v>4281.5848761342513</v>
      </c>
      <c r="AD33" s="171">
        <f t="shared" si="14"/>
        <v>85.63169752268503</v>
      </c>
      <c r="AE33" s="171">
        <f t="shared" si="22"/>
        <v>4367.2165736569359</v>
      </c>
      <c r="AF33" s="171">
        <f t="shared" si="15"/>
        <v>786.09898325824838</v>
      </c>
      <c r="AG33" s="171">
        <f t="shared" si="16"/>
        <v>5153.3155569151841</v>
      </c>
      <c r="AH33" s="177">
        <f t="shared" si="26"/>
        <v>0.53680370384533171</v>
      </c>
      <c r="AI33" s="130">
        <f t="shared" si="18"/>
        <v>20.865559968468041</v>
      </c>
      <c r="AJ33" s="128">
        <f t="shared" si="3"/>
        <v>3041.3155569151841</v>
      </c>
      <c r="AK33" s="178">
        <f t="shared" si="19"/>
        <v>148.06670988121181</v>
      </c>
    </row>
    <row r="34" spans="1:37" x14ac:dyDescent="0.2">
      <c r="A34" s="46" t="s">
        <v>169</v>
      </c>
      <c r="B34" s="39" t="s">
        <v>12</v>
      </c>
      <c r="C34" s="40" t="s">
        <v>144</v>
      </c>
      <c r="D34" s="47" t="s">
        <v>58</v>
      </c>
      <c r="E34" s="40" t="s">
        <v>57</v>
      </c>
      <c r="F34" s="43" t="s">
        <v>3</v>
      </c>
      <c r="G34" s="41">
        <v>1.72</v>
      </c>
      <c r="H34" s="42">
        <v>600</v>
      </c>
      <c r="I34" s="43">
        <v>20</v>
      </c>
      <c r="J34" s="44">
        <v>12000</v>
      </c>
      <c r="K34" s="44">
        <f t="shared" si="20"/>
        <v>20640</v>
      </c>
      <c r="L34" s="44">
        <f t="shared" si="4"/>
        <v>21040</v>
      </c>
      <c r="M34" s="45">
        <v>220</v>
      </c>
      <c r="N34" s="168">
        <f t="shared" si="21"/>
        <v>2640</v>
      </c>
      <c r="O34" s="169">
        <f t="shared" si="5"/>
        <v>0</v>
      </c>
      <c r="P34" s="169">
        <f t="shared" si="6"/>
        <v>0</v>
      </c>
      <c r="Q34" s="170">
        <f t="shared" si="7"/>
        <v>0</v>
      </c>
      <c r="R34" s="171">
        <f t="shared" si="23"/>
        <v>0.17011627906976745</v>
      </c>
      <c r="S34" s="172">
        <v>0.17</v>
      </c>
      <c r="T34" s="172"/>
      <c r="U34" s="173">
        <f>N34</f>
        <v>2640</v>
      </c>
      <c r="V34" s="174">
        <f t="shared" si="9"/>
        <v>1373</v>
      </c>
      <c r="W34" s="171">
        <f t="shared" si="24"/>
        <v>12.863390789812195</v>
      </c>
      <c r="X34" s="123">
        <f t="shared" si="0"/>
        <v>528</v>
      </c>
      <c r="Y34" s="123">
        <f t="shared" si="1"/>
        <v>570.24</v>
      </c>
      <c r="Z34" s="175">
        <f t="shared" si="25"/>
        <v>231.54103421661952</v>
      </c>
      <c r="AA34" s="176">
        <f t="shared" si="12"/>
        <v>41.67738615899151</v>
      </c>
      <c r="AB34" s="176">
        <f t="shared" si="13"/>
        <v>611.91738615899158</v>
      </c>
      <c r="AC34" s="123">
        <f t="shared" si="2"/>
        <v>4785.4044250064317</v>
      </c>
      <c r="AD34" s="171">
        <f t="shared" si="14"/>
        <v>95.708088500128639</v>
      </c>
      <c r="AE34" s="171">
        <f t="shared" si="22"/>
        <v>4881.1125135065604</v>
      </c>
      <c r="AF34" s="171">
        <f t="shared" si="15"/>
        <v>878.60025243118082</v>
      </c>
      <c r="AG34" s="171">
        <f t="shared" si="16"/>
        <v>5759.7127659377411</v>
      </c>
      <c r="AH34" s="177">
        <f t="shared" si="26"/>
        <v>0.47997606382814512</v>
      </c>
      <c r="AI34" s="130">
        <f t="shared" si="18"/>
        <v>18.656669601000001</v>
      </c>
      <c r="AJ34" s="128">
        <f t="shared" si="3"/>
        <v>3119.7127659377411</v>
      </c>
      <c r="AK34" s="178">
        <f t="shared" si="19"/>
        <v>266.6828662721893</v>
      </c>
    </row>
    <row r="35" spans="1:37" x14ac:dyDescent="0.2">
      <c r="A35" s="46" t="s">
        <v>102</v>
      </c>
      <c r="B35" s="39" t="s">
        <v>12</v>
      </c>
      <c r="C35" s="40" t="s">
        <v>6</v>
      </c>
      <c r="D35" s="47" t="s">
        <v>56</v>
      </c>
      <c r="E35" s="47" t="s">
        <v>61</v>
      </c>
      <c r="F35" s="43" t="s">
        <v>2</v>
      </c>
      <c r="G35" s="41">
        <v>2.15</v>
      </c>
      <c r="H35" s="42">
        <v>600</v>
      </c>
      <c r="I35" s="43">
        <v>16</v>
      </c>
      <c r="J35" s="44">
        <v>9600</v>
      </c>
      <c r="K35" s="44">
        <f t="shared" si="20"/>
        <v>20640</v>
      </c>
      <c r="L35" s="44">
        <f t="shared" si="4"/>
        <v>20960</v>
      </c>
      <c r="M35" s="45">
        <v>200</v>
      </c>
      <c r="N35" s="168">
        <f t="shared" si="21"/>
        <v>1920</v>
      </c>
      <c r="O35" s="169">
        <f t="shared" si="5"/>
        <v>0</v>
      </c>
      <c r="P35" s="169">
        <f t="shared" si="6"/>
        <v>0</v>
      </c>
      <c r="Q35" s="170">
        <f t="shared" si="7"/>
        <v>0</v>
      </c>
      <c r="R35" s="171">
        <f t="shared" si="23"/>
        <v>0.12372093023255815</v>
      </c>
      <c r="S35" s="172">
        <v>0.17</v>
      </c>
      <c r="T35" s="172"/>
      <c r="U35" s="125">
        <f>S35*K35/$N$1</f>
        <v>2638.1954887218044</v>
      </c>
      <c r="V35" s="174">
        <f t="shared" si="9"/>
        <v>1373</v>
      </c>
      <c r="W35" s="171">
        <f t="shared" si="24"/>
        <v>12.863390789812195</v>
      </c>
      <c r="X35" s="123">
        <f t="shared" si="0"/>
        <v>527.63909774436092</v>
      </c>
      <c r="Y35" s="123">
        <f t="shared" si="1"/>
        <v>569.8502255639097</v>
      </c>
      <c r="Z35" s="175">
        <f t="shared" si="25"/>
        <v>231.54103421661952</v>
      </c>
      <c r="AA35" s="176">
        <f t="shared" si="12"/>
        <v>41.67738615899151</v>
      </c>
      <c r="AB35" s="176">
        <f t="shared" si="13"/>
        <v>611.52761172290116</v>
      </c>
      <c r="AC35" s="123">
        <f t="shared" si="2"/>
        <v>4065.0435227507924</v>
      </c>
      <c r="AD35" s="171">
        <f t="shared" si="14"/>
        <v>81.300870455015854</v>
      </c>
      <c r="AE35" s="171">
        <f t="shared" si="22"/>
        <v>4146.344393205808</v>
      </c>
      <c r="AF35" s="171">
        <f t="shared" si="15"/>
        <v>746.34199077704545</v>
      </c>
      <c r="AG35" s="171">
        <f t="shared" si="16"/>
        <v>4892.6863839828538</v>
      </c>
      <c r="AH35" s="177">
        <f t="shared" si="26"/>
        <v>0.50965483166488057</v>
      </c>
      <c r="AI35" s="130">
        <f t="shared" si="18"/>
        <v>19.810283306813908</v>
      </c>
      <c r="AJ35" s="128">
        <f t="shared" si="3"/>
        <v>2972.6863839828538</v>
      </c>
      <c r="AK35" s="178">
        <f t="shared" si="19"/>
        <v>134.81437905414424</v>
      </c>
    </row>
    <row r="36" spans="1:37" x14ac:dyDescent="0.2">
      <c r="A36" s="46" t="s">
        <v>103</v>
      </c>
      <c r="B36" s="39" t="s">
        <v>12</v>
      </c>
      <c r="C36" s="40" t="s">
        <v>7</v>
      </c>
      <c r="D36" s="47" t="s">
        <v>59</v>
      </c>
      <c r="E36" s="47" t="s">
        <v>61</v>
      </c>
      <c r="F36" s="43" t="s">
        <v>2</v>
      </c>
      <c r="G36" s="41">
        <v>2.25</v>
      </c>
      <c r="H36" s="42">
        <v>600</v>
      </c>
      <c r="I36" s="43">
        <v>16</v>
      </c>
      <c r="J36" s="44">
        <v>9600</v>
      </c>
      <c r="K36" s="44">
        <f t="shared" si="20"/>
        <v>21600</v>
      </c>
      <c r="L36" s="44">
        <f t="shared" si="4"/>
        <v>21920</v>
      </c>
      <c r="M36" s="45">
        <v>220</v>
      </c>
      <c r="N36" s="168">
        <f t="shared" si="21"/>
        <v>2112</v>
      </c>
      <c r="O36" s="169">
        <f t="shared" si="5"/>
        <v>0</v>
      </c>
      <c r="P36" s="169">
        <f t="shared" si="6"/>
        <v>0</v>
      </c>
      <c r="Q36" s="170">
        <f t="shared" si="7"/>
        <v>0</v>
      </c>
      <c r="R36" s="171">
        <f t="shared" si="23"/>
        <v>0.13004444444444446</v>
      </c>
      <c r="S36" s="172">
        <v>0.17</v>
      </c>
      <c r="T36" s="172"/>
      <c r="U36" s="125">
        <f>S36*K36/$N$1</f>
        <v>2760.9022556390978</v>
      </c>
      <c r="V36" s="174">
        <f t="shared" si="9"/>
        <v>1373</v>
      </c>
      <c r="W36" s="171">
        <f t="shared" si="24"/>
        <v>12.863390789812195</v>
      </c>
      <c r="X36" s="123">
        <f t="shared" si="0"/>
        <v>552.18045112781954</v>
      </c>
      <c r="Y36" s="123">
        <f t="shared" si="1"/>
        <v>596.35488721804506</v>
      </c>
      <c r="Z36" s="175">
        <f t="shared" si="25"/>
        <v>231.54103421661952</v>
      </c>
      <c r="AA36" s="176">
        <f t="shared" si="12"/>
        <v>41.67738615899151</v>
      </c>
      <c r="AB36" s="176">
        <f t="shared" si="13"/>
        <v>638.03227337703652</v>
      </c>
      <c r="AC36" s="123">
        <f t="shared" si="2"/>
        <v>4281.5848761342513</v>
      </c>
      <c r="AD36" s="171">
        <f t="shared" si="14"/>
        <v>85.63169752268503</v>
      </c>
      <c r="AE36" s="171">
        <f t="shared" si="22"/>
        <v>4367.2165736569359</v>
      </c>
      <c r="AF36" s="171">
        <f t="shared" si="15"/>
        <v>786.09898325824838</v>
      </c>
      <c r="AG36" s="171">
        <f t="shared" si="16"/>
        <v>5153.3155569151841</v>
      </c>
      <c r="AH36" s="177">
        <f t="shared" si="26"/>
        <v>0.53680370384533171</v>
      </c>
      <c r="AI36" s="130">
        <f t="shared" si="18"/>
        <v>20.865559968468041</v>
      </c>
      <c r="AJ36" s="128">
        <f t="shared" si="3"/>
        <v>3041.3155569151841</v>
      </c>
      <c r="AK36" s="178">
        <f t="shared" si="19"/>
        <v>148.06670988121181</v>
      </c>
    </row>
    <row r="37" spans="1:37" x14ac:dyDescent="0.2">
      <c r="A37" s="46" t="s">
        <v>170</v>
      </c>
      <c r="B37" s="39" t="s">
        <v>12</v>
      </c>
      <c r="C37" s="47" t="s">
        <v>145</v>
      </c>
      <c r="D37" s="47" t="s">
        <v>58</v>
      </c>
      <c r="E37" s="47" t="s">
        <v>61</v>
      </c>
      <c r="F37" s="43" t="s">
        <v>3</v>
      </c>
      <c r="G37" s="41">
        <v>1.72</v>
      </c>
      <c r="H37" s="42">
        <v>600</v>
      </c>
      <c r="I37" s="43">
        <v>20</v>
      </c>
      <c r="J37" s="44">
        <v>12000</v>
      </c>
      <c r="K37" s="44">
        <f t="shared" si="20"/>
        <v>20640</v>
      </c>
      <c r="L37" s="44">
        <f t="shared" si="4"/>
        <v>21040</v>
      </c>
      <c r="M37" s="45">
        <v>220</v>
      </c>
      <c r="N37" s="168">
        <f t="shared" si="21"/>
        <v>2640</v>
      </c>
      <c r="O37" s="169">
        <f t="shared" si="5"/>
        <v>0</v>
      </c>
      <c r="P37" s="169">
        <f t="shared" si="6"/>
        <v>0</v>
      </c>
      <c r="Q37" s="170">
        <f t="shared" si="7"/>
        <v>0</v>
      </c>
      <c r="R37" s="171">
        <f t="shared" si="23"/>
        <v>0.17011627906976745</v>
      </c>
      <c r="S37" s="172">
        <v>0.17</v>
      </c>
      <c r="T37" s="172"/>
      <c r="U37" s="173">
        <f>N37</f>
        <v>2640</v>
      </c>
      <c r="V37" s="174">
        <f t="shared" si="9"/>
        <v>1373</v>
      </c>
      <c r="W37" s="171">
        <f t="shared" si="24"/>
        <v>12.863390789812195</v>
      </c>
      <c r="X37" s="123">
        <f t="shared" si="0"/>
        <v>528</v>
      </c>
      <c r="Y37" s="123">
        <f t="shared" si="1"/>
        <v>570.24</v>
      </c>
      <c r="Z37" s="175">
        <f t="shared" si="25"/>
        <v>231.54103421661952</v>
      </c>
      <c r="AA37" s="176">
        <f t="shared" si="12"/>
        <v>41.67738615899151</v>
      </c>
      <c r="AB37" s="176">
        <f t="shared" si="13"/>
        <v>611.91738615899158</v>
      </c>
      <c r="AC37" s="123">
        <f t="shared" si="2"/>
        <v>4785.4044250064317</v>
      </c>
      <c r="AD37" s="171">
        <f t="shared" si="14"/>
        <v>95.708088500128639</v>
      </c>
      <c r="AE37" s="171">
        <f t="shared" si="22"/>
        <v>4881.1125135065604</v>
      </c>
      <c r="AF37" s="171">
        <f t="shared" si="15"/>
        <v>878.60025243118082</v>
      </c>
      <c r="AG37" s="171">
        <f t="shared" si="16"/>
        <v>5759.7127659377411</v>
      </c>
      <c r="AH37" s="177">
        <f t="shared" si="26"/>
        <v>0.47997606382814512</v>
      </c>
      <c r="AI37" s="130">
        <f t="shared" si="18"/>
        <v>18.656669601000001</v>
      </c>
      <c r="AJ37" s="128">
        <f t="shared" si="3"/>
        <v>3119.7127659377411</v>
      </c>
      <c r="AK37" s="178">
        <f t="shared" si="19"/>
        <v>266.6828662721893</v>
      </c>
    </row>
    <row r="38" spans="1:37" x14ac:dyDescent="0.2">
      <c r="A38" s="46" t="s">
        <v>104</v>
      </c>
      <c r="B38" s="39" t="s">
        <v>12</v>
      </c>
      <c r="C38" s="40" t="s">
        <v>8</v>
      </c>
      <c r="D38" s="47" t="s">
        <v>56</v>
      </c>
      <c r="E38" s="40" t="s">
        <v>62</v>
      </c>
      <c r="F38" s="39" t="s">
        <v>2</v>
      </c>
      <c r="G38" s="41">
        <v>2.15</v>
      </c>
      <c r="H38" s="42">
        <v>600</v>
      </c>
      <c r="I38" s="43">
        <v>16</v>
      </c>
      <c r="J38" s="44">
        <v>9600</v>
      </c>
      <c r="K38" s="44">
        <f t="shared" si="20"/>
        <v>20640</v>
      </c>
      <c r="L38" s="44">
        <f t="shared" si="4"/>
        <v>20960</v>
      </c>
      <c r="M38" s="45">
        <v>200</v>
      </c>
      <c r="N38" s="168">
        <f t="shared" si="21"/>
        <v>1920</v>
      </c>
      <c r="O38" s="169">
        <f t="shared" si="5"/>
        <v>0</v>
      </c>
      <c r="P38" s="169">
        <f t="shared" si="6"/>
        <v>0</v>
      </c>
      <c r="Q38" s="170">
        <f t="shared" si="7"/>
        <v>0</v>
      </c>
      <c r="R38" s="171">
        <f t="shared" si="23"/>
        <v>0.12372093023255815</v>
      </c>
      <c r="S38" s="172">
        <v>0.17</v>
      </c>
      <c r="T38" s="172"/>
      <c r="U38" s="125">
        <f>S38*K38/$N$1</f>
        <v>2638.1954887218044</v>
      </c>
      <c r="V38" s="174">
        <f t="shared" si="9"/>
        <v>1373</v>
      </c>
      <c r="W38" s="171">
        <f t="shared" si="24"/>
        <v>12.863390789812195</v>
      </c>
      <c r="X38" s="123">
        <f t="shared" si="0"/>
        <v>527.63909774436092</v>
      </c>
      <c r="Y38" s="123">
        <f t="shared" si="1"/>
        <v>569.8502255639097</v>
      </c>
      <c r="Z38" s="175">
        <f t="shared" si="25"/>
        <v>231.54103421661952</v>
      </c>
      <c r="AA38" s="176">
        <f t="shared" si="12"/>
        <v>41.67738615899151</v>
      </c>
      <c r="AB38" s="176">
        <f t="shared" si="13"/>
        <v>611.52761172290116</v>
      </c>
      <c r="AC38" s="123">
        <f t="shared" si="2"/>
        <v>4065.0435227507924</v>
      </c>
      <c r="AD38" s="171">
        <f t="shared" si="14"/>
        <v>81.300870455015854</v>
      </c>
      <c r="AE38" s="171">
        <f t="shared" si="22"/>
        <v>4146.344393205808</v>
      </c>
      <c r="AF38" s="171">
        <f t="shared" si="15"/>
        <v>746.34199077704545</v>
      </c>
      <c r="AG38" s="171">
        <f t="shared" si="16"/>
        <v>4892.6863839828538</v>
      </c>
      <c r="AH38" s="177">
        <f t="shared" si="26"/>
        <v>0.50965483166488057</v>
      </c>
      <c r="AI38" s="130">
        <f t="shared" si="18"/>
        <v>19.810283306813908</v>
      </c>
      <c r="AJ38" s="128">
        <f t="shared" si="3"/>
        <v>2972.6863839828538</v>
      </c>
      <c r="AK38" s="178">
        <f t="shared" si="19"/>
        <v>134.81437905414424</v>
      </c>
    </row>
    <row r="39" spans="1:37" x14ac:dyDescent="0.2">
      <c r="A39" s="46" t="s">
        <v>105</v>
      </c>
      <c r="B39" s="39" t="s">
        <v>12</v>
      </c>
      <c r="C39" s="40" t="s">
        <v>9</v>
      </c>
      <c r="D39" s="40" t="s">
        <v>59</v>
      </c>
      <c r="E39" s="40" t="s">
        <v>62</v>
      </c>
      <c r="F39" s="39" t="s">
        <v>2</v>
      </c>
      <c r="G39" s="41">
        <v>2.25</v>
      </c>
      <c r="H39" s="42">
        <v>600</v>
      </c>
      <c r="I39" s="43">
        <v>16</v>
      </c>
      <c r="J39" s="44">
        <v>9600</v>
      </c>
      <c r="K39" s="44">
        <f t="shared" si="20"/>
        <v>21600</v>
      </c>
      <c r="L39" s="44">
        <f t="shared" si="4"/>
        <v>21920</v>
      </c>
      <c r="M39" s="45">
        <v>220</v>
      </c>
      <c r="N39" s="168">
        <f t="shared" si="21"/>
        <v>2112</v>
      </c>
      <c r="O39" s="169">
        <f t="shared" si="5"/>
        <v>0</v>
      </c>
      <c r="P39" s="169">
        <f t="shared" si="6"/>
        <v>0</v>
      </c>
      <c r="Q39" s="170">
        <f t="shared" si="7"/>
        <v>0</v>
      </c>
      <c r="R39" s="171">
        <f t="shared" si="23"/>
        <v>0.13004444444444446</v>
      </c>
      <c r="S39" s="172">
        <v>0.17</v>
      </c>
      <c r="T39" s="172"/>
      <c r="U39" s="125">
        <f>S39*K39/$N$1</f>
        <v>2760.9022556390978</v>
      </c>
      <c r="V39" s="174">
        <f t="shared" si="9"/>
        <v>1373</v>
      </c>
      <c r="W39" s="171">
        <f t="shared" si="24"/>
        <v>12.863390789812195</v>
      </c>
      <c r="X39" s="123">
        <f t="shared" si="0"/>
        <v>552.18045112781954</v>
      </c>
      <c r="Y39" s="123">
        <f t="shared" si="1"/>
        <v>596.35488721804506</v>
      </c>
      <c r="Z39" s="175">
        <f t="shared" si="25"/>
        <v>231.54103421661952</v>
      </c>
      <c r="AA39" s="176">
        <f t="shared" si="12"/>
        <v>41.67738615899151</v>
      </c>
      <c r="AB39" s="176">
        <f t="shared" si="13"/>
        <v>638.03227337703652</v>
      </c>
      <c r="AC39" s="123">
        <f t="shared" si="2"/>
        <v>4281.5848761342513</v>
      </c>
      <c r="AD39" s="171">
        <f t="shared" si="14"/>
        <v>85.63169752268503</v>
      </c>
      <c r="AE39" s="171">
        <f t="shared" si="22"/>
        <v>4367.2165736569359</v>
      </c>
      <c r="AF39" s="171">
        <f t="shared" si="15"/>
        <v>786.09898325824838</v>
      </c>
      <c r="AG39" s="171">
        <f t="shared" si="16"/>
        <v>5153.3155569151841</v>
      </c>
      <c r="AH39" s="177">
        <f t="shared" si="26"/>
        <v>0.53680370384533171</v>
      </c>
      <c r="AI39" s="130">
        <f t="shared" si="18"/>
        <v>20.865559968468041</v>
      </c>
      <c r="AJ39" s="128">
        <f t="shared" si="3"/>
        <v>3041.3155569151841</v>
      </c>
      <c r="AK39" s="178">
        <f t="shared" si="19"/>
        <v>148.06670988121181</v>
      </c>
    </row>
    <row r="40" spans="1:37" x14ac:dyDescent="0.2">
      <c r="A40" s="46" t="s">
        <v>171</v>
      </c>
      <c r="B40" s="39" t="s">
        <v>12</v>
      </c>
      <c r="C40" s="47" t="s">
        <v>172</v>
      </c>
      <c r="D40" s="47" t="s">
        <v>58</v>
      </c>
      <c r="E40" s="40" t="s">
        <v>62</v>
      </c>
      <c r="F40" s="43" t="s">
        <v>3</v>
      </c>
      <c r="G40" s="41">
        <v>1.72</v>
      </c>
      <c r="H40" s="42">
        <v>600</v>
      </c>
      <c r="I40" s="43">
        <v>20</v>
      </c>
      <c r="J40" s="44">
        <v>12000</v>
      </c>
      <c r="K40" s="44">
        <f t="shared" si="20"/>
        <v>20640</v>
      </c>
      <c r="L40" s="44">
        <f t="shared" si="4"/>
        <v>21040</v>
      </c>
      <c r="M40" s="45">
        <v>220</v>
      </c>
      <c r="N40" s="168">
        <f t="shared" si="21"/>
        <v>2640</v>
      </c>
      <c r="O40" s="169">
        <f t="shared" si="5"/>
        <v>0</v>
      </c>
      <c r="P40" s="169">
        <f t="shared" si="6"/>
        <v>0</v>
      </c>
      <c r="Q40" s="170">
        <f t="shared" si="7"/>
        <v>0</v>
      </c>
      <c r="R40" s="171">
        <f t="shared" si="23"/>
        <v>0.17011627906976745</v>
      </c>
      <c r="S40" s="172">
        <v>0.17</v>
      </c>
      <c r="T40" s="172"/>
      <c r="U40" s="173">
        <f>N40</f>
        <v>2640</v>
      </c>
      <c r="V40" s="174">
        <f t="shared" si="9"/>
        <v>1373</v>
      </c>
      <c r="W40" s="171">
        <f t="shared" si="24"/>
        <v>12.863390789812195</v>
      </c>
      <c r="X40" s="123">
        <f t="shared" si="0"/>
        <v>528</v>
      </c>
      <c r="Y40" s="123">
        <f t="shared" si="1"/>
        <v>570.24</v>
      </c>
      <c r="Z40" s="175">
        <f t="shared" si="25"/>
        <v>231.54103421661952</v>
      </c>
      <c r="AA40" s="176">
        <f t="shared" si="12"/>
        <v>41.67738615899151</v>
      </c>
      <c r="AB40" s="176">
        <f t="shared" si="13"/>
        <v>611.91738615899158</v>
      </c>
      <c r="AC40" s="123">
        <f t="shared" si="2"/>
        <v>4785.4044250064317</v>
      </c>
      <c r="AD40" s="171">
        <f t="shared" si="14"/>
        <v>95.708088500128639</v>
      </c>
      <c r="AE40" s="171">
        <f t="shared" si="22"/>
        <v>4881.1125135065604</v>
      </c>
      <c r="AF40" s="171">
        <f t="shared" si="15"/>
        <v>878.60025243118082</v>
      </c>
      <c r="AG40" s="171">
        <f t="shared" si="16"/>
        <v>5759.7127659377411</v>
      </c>
      <c r="AH40" s="177">
        <f t="shared" si="26"/>
        <v>0.47997606382814512</v>
      </c>
      <c r="AI40" s="130">
        <f t="shared" si="18"/>
        <v>18.656669601000001</v>
      </c>
      <c r="AJ40" s="128">
        <f t="shared" si="3"/>
        <v>3119.7127659377411</v>
      </c>
      <c r="AK40" s="178">
        <f t="shared" si="19"/>
        <v>266.6828662721893</v>
      </c>
    </row>
    <row r="41" spans="1:37" x14ac:dyDescent="0.2">
      <c r="A41" s="142"/>
      <c r="B41" s="190"/>
      <c r="C41" s="144"/>
      <c r="D41" s="144"/>
      <c r="E41" s="191"/>
      <c r="F41" s="143"/>
      <c r="G41" s="145"/>
      <c r="H41" s="146"/>
      <c r="I41" s="143"/>
      <c r="J41" s="149"/>
      <c r="K41" s="149"/>
      <c r="L41" s="149"/>
      <c r="M41" s="192"/>
      <c r="N41" s="151"/>
      <c r="O41" s="152"/>
      <c r="P41" s="152"/>
      <c r="Q41" s="153"/>
      <c r="R41" s="154"/>
      <c r="S41" s="155"/>
      <c r="T41" s="155"/>
      <c r="U41" s="156"/>
      <c r="V41" s="157"/>
      <c r="W41" s="154"/>
      <c r="X41" s="123">
        <f t="shared" si="0"/>
        <v>0</v>
      </c>
      <c r="Y41" s="123">
        <f t="shared" si="1"/>
        <v>0</v>
      </c>
      <c r="Z41" s="158"/>
      <c r="AA41" s="159"/>
      <c r="AB41" s="159"/>
      <c r="AC41" s="123">
        <f t="shared" si="2"/>
        <v>0</v>
      </c>
      <c r="AD41" s="154"/>
      <c r="AE41" s="154"/>
      <c r="AF41" s="154"/>
      <c r="AG41" s="154"/>
      <c r="AH41" s="160"/>
      <c r="AI41" s="160"/>
      <c r="AJ41" s="128">
        <f t="shared" si="3"/>
        <v>0</v>
      </c>
      <c r="AK41" s="161"/>
    </row>
    <row r="42" spans="1:37" x14ac:dyDescent="0.2">
      <c r="A42" s="38" t="s">
        <v>180</v>
      </c>
      <c r="B42" s="39" t="s">
        <v>181</v>
      </c>
      <c r="C42" s="40" t="s">
        <v>1</v>
      </c>
      <c r="D42" s="40" t="s">
        <v>56</v>
      </c>
      <c r="E42" s="40" t="s">
        <v>57</v>
      </c>
      <c r="F42" s="39" t="s">
        <v>2</v>
      </c>
      <c r="G42" s="41">
        <v>2.25</v>
      </c>
      <c r="H42" s="42">
        <v>540</v>
      </c>
      <c r="I42" s="43">
        <v>17</v>
      </c>
      <c r="J42" s="44">
        <v>9180</v>
      </c>
      <c r="K42" s="44">
        <f t="shared" si="20"/>
        <v>20655</v>
      </c>
      <c r="L42" s="44">
        <f t="shared" si="4"/>
        <v>20995</v>
      </c>
      <c r="M42" s="45">
        <v>180</v>
      </c>
      <c r="N42" s="168">
        <f t="shared" si="21"/>
        <v>1652.4</v>
      </c>
      <c r="O42" s="169">
        <f t="shared" si="5"/>
        <v>0</v>
      </c>
      <c r="P42" s="169">
        <f t="shared" si="6"/>
        <v>0</v>
      </c>
      <c r="Q42" s="170">
        <f t="shared" si="7"/>
        <v>0</v>
      </c>
      <c r="R42" s="171">
        <f t="shared" ref="R42:R47" si="27">N42/K42*$N$1</f>
        <v>0.10640000000000001</v>
      </c>
      <c r="S42" s="172">
        <v>0.17</v>
      </c>
      <c r="T42" s="172"/>
      <c r="U42" s="125">
        <f t="shared" ref="U42:U47" si="28">S42*K42/$N$1</f>
        <v>2640.1127819548874</v>
      </c>
      <c r="V42" s="174">
        <f t="shared" si="9"/>
        <v>1373</v>
      </c>
      <c r="W42" s="171">
        <f t="shared" ref="W42:W47" si="29">$W$7/N$2</f>
        <v>12.863390789812195</v>
      </c>
      <c r="X42" s="123">
        <f t="shared" si="0"/>
        <v>528.02255639097746</v>
      </c>
      <c r="Y42" s="123">
        <f t="shared" si="1"/>
        <v>570.2643609022557</v>
      </c>
      <c r="Z42" s="175">
        <f t="shared" ref="Z42:Z47" si="30">$Z$7/$N$2</f>
        <v>231.54103421661952</v>
      </c>
      <c r="AA42" s="176">
        <f t="shared" si="12"/>
        <v>41.67738615899151</v>
      </c>
      <c r="AB42" s="176">
        <f t="shared" si="13"/>
        <v>611.94174706124727</v>
      </c>
      <c r="AC42" s="123">
        <f t="shared" si="2"/>
        <v>3797.8269813974093</v>
      </c>
      <c r="AD42" s="171">
        <f t="shared" si="14"/>
        <v>75.956539627948189</v>
      </c>
      <c r="AE42" s="171">
        <f t="shared" si="22"/>
        <v>3873.7835210253575</v>
      </c>
      <c r="AF42" s="171">
        <f t="shared" si="15"/>
        <v>697.28103378456433</v>
      </c>
      <c r="AG42" s="171">
        <f t="shared" si="16"/>
        <v>4571.0645548099219</v>
      </c>
      <c r="AH42" s="177">
        <f t="shared" ref="AH42:AH47" si="31">AG42/J42</f>
        <v>0.49793731533877145</v>
      </c>
      <c r="AI42" s="130">
        <f t="shared" si="18"/>
        <v>19.354823447218045</v>
      </c>
      <c r="AJ42" s="128">
        <f t="shared" si="3"/>
        <v>2918.6645548099218</v>
      </c>
      <c r="AK42" s="178">
        <f t="shared" si="19"/>
        <v>85.339286723317116</v>
      </c>
    </row>
    <row r="43" spans="1:37" x14ac:dyDescent="0.2">
      <c r="A43" s="38" t="s">
        <v>182</v>
      </c>
      <c r="B43" s="39" t="s">
        <v>181</v>
      </c>
      <c r="C43" s="40" t="s">
        <v>5</v>
      </c>
      <c r="D43" s="40" t="s">
        <v>59</v>
      </c>
      <c r="E43" s="40" t="s">
        <v>57</v>
      </c>
      <c r="F43" s="39" t="s">
        <v>2</v>
      </c>
      <c r="G43" s="41">
        <v>2.35</v>
      </c>
      <c r="H43" s="42">
        <v>540</v>
      </c>
      <c r="I43" s="43">
        <v>17</v>
      </c>
      <c r="J43" s="44">
        <v>9180</v>
      </c>
      <c r="K43" s="44">
        <f t="shared" si="20"/>
        <v>21573</v>
      </c>
      <c r="L43" s="44">
        <f t="shared" si="4"/>
        <v>21913</v>
      </c>
      <c r="M43" s="45">
        <v>220</v>
      </c>
      <c r="N43" s="168">
        <f t="shared" si="21"/>
        <v>2019.6</v>
      </c>
      <c r="O43" s="169">
        <f t="shared" si="5"/>
        <v>0</v>
      </c>
      <c r="P43" s="169">
        <f t="shared" si="6"/>
        <v>0</v>
      </c>
      <c r="Q43" s="170">
        <f t="shared" si="7"/>
        <v>0</v>
      </c>
      <c r="R43" s="171">
        <f t="shared" si="27"/>
        <v>0.12451063829787234</v>
      </c>
      <c r="S43" s="172">
        <v>0.17</v>
      </c>
      <c r="T43" s="172"/>
      <c r="U43" s="125">
        <f t="shared" si="28"/>
        <v>2757.4511278195491</v>
      </c>
      <c r="V43" s="174">
        <f t="shared" si="9"/>
        <v>1373</v>
      </c>
      <c r="W43" s="171">
        <f t="shared" si="29"/>
        <v>12.863390789812195</v>
      </c>
      <c r="X43" s="123">
        <f t="shared" si="0"/>
        <v>551.4902255639098</v>
      </c>
      <c r="Y43" s="123">
        <f t="shared" si="1"/>
        <v>595.60944360902261</v>
      </c>
      <c r="Z43" s="175">
        <f t="shared" si="30"/>
        <v>231.54103421661952</v>
      </c>
      <c r="AA43" s="176">
        <f t="shared" si="12"/>
        <v>41.67738615899151</v>
      </c>
      <c r="AB43" s="176">
        <f t="shared" si="13"/>
        <v>637.28682976801406</v>
      </c>
      <c r="AC43" s="123">
        <f t="shared" si="2"/>
        <v>4188.494650570341</v>
      </c>
      <c r="AD43" s="171">
        <f t="shared" si="14"/>
        <v>83.769893011406822</v>
      </c>
      <c r="AE43" s="171">
        <f t="shared" si="22"/>
        <v>4272.2645435817476</v>
      </c>
      <c r="AF43" s="171">
        <f t="shared" si="15"/>
        <v>769.00761784471456</v>
      </c>
      <c r="AG43" s="171">
        <f t="shared" si="16"/>
        <v>5041.2721614264619</v>
      </c>
      <c r="AH43" s="177">
        <f t="shared" si="31"/>
        <v>0.54915818751922241</v>
      </c>
      <c r="AI43" s="130">
        <f t="shared" si="18"/>
        <v>21.345778748872174</v>
      </c>
      <c r="AJ43" s="128">
        <f t="shared" si="3"/>
        <v>3021.672161426462</v>
      </c>
      <c r="AK43" s="178">
        <f t="shared" si="19"/>
        <v>131.72078807670044</v>
      </c>
    </row>
    <row r="44" spans="1:37" x14ac:dyDescent="0.2">
      <c r="A44" s="46" t="s">
        <v>183</v>
      </c>
      <c r="B44" s="39" t="s">
        <v>181</v>
      </c>
      <c r="C44" s="40" t="s">
        <v>6</v>
      </c>
      <c r="D44" s="47" t="s">
        <v>56</v>
      </c>
      <c r="E44" s="47" t="s">
        <v>61</v>
      </c>
      <c r="F44" s="43" t="s">
        <v>2</v>
      </c>
      <c r="G44" s="41">
        <v>2.25</v>
      </c>
      <c r="H44" s="42">
        <v>540</v>
      </c>
      <c r="I44" s="43">
        <v>17</v>
      </c>
      <c r="J44" s="44">
        <v>9180</v>
      </c>
      <c r="K44" s="44">
        <f t="shared" si="20"/>
        <v>20655</v>
      </c>
      <c r="L44" s="44">
        <f t="shared" si="4"/>
        <v>20995</v>
      </c>
      <c r="M44" s="45">
        <v>180</v>
      </c>
      <c r="N44" s="168">
        <f t="shared" si="21"/>
        <v>1652.4</v>
      </c>
      <c r="O44" s="169">
        <f t="shared" si="5"/>
        <v>0</v>
      </c>
      <c r="P44" s="169">
        <f t="shared" si="6"/>
        <v>0</v>
      </c>
      <c r="Q44" s="170">
        <f t="shared" si="7"/>
        <v>0</v>
      </c>
      <c r="R44" s="171">
        <f t="shared" si="27"/>
        <v>0.10640000000000001</v>
      </c>
      <c r="S44" s="172">
        <v>0.17</v>
      </c>
      <c r="T44" s="172"/>
      <c r="U44" s="125">
        <f t="shared" si="28"/>
        <v>2640.1127819548874</v>
      </c>
      <c r="V44" s="174">
        <f t="shared" si="9"/>
        <v>1373</v>
      </c>
      <c r="W44" s="171">
        <f t="shared" si="29"/>
        <v>12.863390789812195</v>
      </c>
      <c r="X44" s="123">
        <f t="shared" si="0"/>
        <v>528.02255639097746</v>
      </c>
      <c r="Y44" s="123">
        <f t="shared" si="1"/>
        <v>570.2643609022557</v>
      </c>
      <c r="Z44" s="175">
        <f t="shared" si="30"/>
        <v>231.54103421661952</v>
      </c>
      <c r="AA44" s="176">
        <f t="shared" si="12"/>
        <v>41.67738615899151</v>
      </c>
      <c r="AB44" s="176">
        <f t="shared" si="13"/>
        <v>611.94174706124727</v>
      </c>
      <c r="AC44" s="123">
        <f t="shared" si="2"/>
        <v>3797.8269813974093</v>
      </c>
      <c r="AD44" s="171">
        <f t="shared" si="14"/>
        <v>75.956539627948189</v>
      </c>
      <c r="AE44" s="171">
        <f t="shared" si="22"/>
        <v>3873.7835210253575</v>
      </c>
      <c r="AF44" s="171">
        <f t="shared" si="15"/>
        <v>697.28103378456433</v>
      </c>
      <c r="AG44" s="171">
        <f t="shared" si="16"/>
        <v>4571.0645548099219</v>
      </c>
      <c r="AH44" s="177">
        <f t="shared" si="31"/>
        <v>0.49793731533877145</v>
      </c>
      <c r="AI44" s="130">
        <f t="shared" si="18"/>
        <v>19.354823447218045</v>
      </c>
      <c r="AJ44" s="128">
        <f t="shared" si="3"/>
        <v>2918.6645548099218</v>
      </c>
      <c r="AK44" s="178">
        <f t="shared" si="19"/>
        <v>85.339286723317116</v>
      </c>
    </row>
    <row r="45" spans="1:37" x14ac:dyDescent="0.2">
      <c r="A45" s="46" t="s">
        <v>184</v>
      </c>
      <c r="B45" s="39" t="s">
        <v>181</v>
      </c>
      <c r="C45" s="40" t="s">
        <v>7</v>
      </c>
      <c r="D45" s="47" t="s">
        <v>59</v>
      </c>
      <c r="E45" s="47" t="s">
        <v>61</v>
      </c>
      <c r="F45" s="43" t="s">
        <v>2</v>
      </c>
      <c r="G45" s="41">
        <v>2.35</v>
      </c>
      <c r="H45" s="42">
        <v>540</v>
      </c>
      <c r="I45" s="43">
        <v>17</v>
      </c>
      <c r="J45" s="44">
        <v>9180</v>
      </c>
      <c r="K45" s="44">
        <f t="shared" si="20"/>
        <v>21573</v>
      </c>
      <c r="L45" s="44">
        <f t="shared" si="4"/>
        <v>21913</v>
      </c>
      <c r="M45" s="45">
        <v>220</v>
      </c>
      <c r="N45" s="168">
        <f t="shared" si="21"/>
        <v>2019.6</v>
      </c>
      <c r="O45" s="169">
        <f t="shared" si="5"/>
        <v>0</v>
      </c>
      <c r="P45" s="169">
        <f t="shared" si="6"/>
        <v>0</v>
      </c>
      <c r="Q45" s="170">
        <f t="shared" si="7"/>
        <v>0</v>
      </c>
      <c r="R45" s="171">
        <f t="shared" si="27"/>
        <v>0.12451063829787234</v>
      </c>
      <c r="S45" s="172">
        <v>0.17</v>
      </c>
      <c r="T45" s="172"/>
      <c r="U45" s="125">
        <f t="shared" si="28"/>
        <v>2757.4511278195491</v>
      </c>
      <c r="V45" s="174">
        <f t="shared" si="9"/>
        <v>1373</v>
      </c>
      <c r="W45" s="171">
        <f t="shared" si="29"/>
        <v>12.863390789812195</v>
      </c>
      <c r="X45" s="123">
        <f t="shared" si="0"/>
        <v>551.4902255639098</v>
      </c>
      <c r="Y45" s="123">
        <f t="shared" si="1"/>
        <v>595.60944360902261</v>
      </c>
      <c r="Z45" s="175">
        <f t="shared" si="30"/>
        <v>231.54103421661952</v>
      </c>
      <c r="AA45" s="176">
        <f t="shared" si="12"/>
        <v>41.67738615899151</v>
      </c>
      <c r="AB45" s="176">
        <f t="shared" si="13"/>
        <v>637.28682976801406</v>
      </c>
      <c r="AC45" s="123">
        <f t="shared" si="2"/>
        <v>4188.494650570341</v>
      </c>
      <c r="AD45" s="171">
        <f t="shared" si="14"/>
        <v>83.769893011406822</v>
      </c>
      <c r="AE45" s="171">
        <f t="shared" si="22"/>
        <v>4272.2645435817476</v>
      </c>
      <c r="AF45" s="171">
        <f t="shared" si="15"/>
        <v>769.00761784471456</v>
      </c>
      <c r="AG45" s="171">
        <f t="shared" si="16"/>
        <v>5041.2721614264619</v>
      </c>
      <c r="AH45" s="177">
        <f t="shared" si="31"/>
        <v>0.54915818751922241</v>
      </c>
      <c r="AI45" s="130">
        <f t="shared" si="18"/>
        <v>21.345778748872174</v>
      </c>
      <c r="AJ45" s="128">
        <f t="shared" si="3"/>
        <v>3021.672161426462</v>
      </c>
      <c r="AK45" s="178">
        <f t="shared" si="19"/>
        <v>131.72078807670044</v>
      </c>
    </row>
    <row r="46" spans="1:37" x14ac:dyDescent="0.2">
      <c r="A46" s="46" t="s">
        <v>185</v>
      </c>
      <c r="B46" s="39" t="s">
        <v>181</v>
      </c>
      <c r="C46" s="40" t="s">
        <v>8</v>
      </c>
      <c r="D46" s="47" t="s">
        <v>56</v>
      </c>
      <c r="E46" s="40" t="s">
        <v>62</v>
      </c>
      <c r="F46" s="39" t="s">
        <v>2</v>
      </c>
      <c r="G46" s="41">
        <v>2.25</v>
      </c>
      <c r="H46" s="42">
        <v>540</v>
      </c>
      <c r="I46" s="43">
        <v>17</v>
      </c>
      <c r="J46" s="44">
        <v>9180</v>
      </c>
      <c r="K46" s="44">
        <f t="shared" si="20"/>
        <v>20655</v>
      </c>
      <c r="L46" s="44">
        <f t="shared" si="4"/>
        <v>20995</v>
      </c>
      <c r="M46" s="45">
        <v>180</v>
      </c>
      <c r="N46" s="168">
        <f t="shared" si="21"/>
        <v>1652.4</v>
      </c>
      <c r="O46" s="169">
        <f t="shared" si="5"/>
        <v>0</v>
      </c>
      <c r="P46" s="169">
        <f t="shared" si="6"/>
        <v>0</v>
      </c>
      <c r="Q46" s="170">
        <f t="shared" si="7"/>
        <v>0</v>
      </c>
      <c r="R46" s="171">
        <f t="shared" si="27"/>
        <v>0.10640000000000001</v>
      </c>
      <c r="S46" s="172">
        <v>0.17</v>
      </c>
      <c r="T46" s="172"/>
      <c r="U46" s="125">
        <f t="shared" si="28"/>
        <v>2640.1127819548874</v>
      </c>
      <c r="V46" s="174">
        <f t="shared" si="9"/>
        <v>1373</v>
      </c>
      <c r="W46" s="171">
        <f t="shared" si="29"/>
        <v>12.863390789812195</v>
      </c>
      <c r="X46" s="123">
        <f t="shared" si="0"/>
        <v>528.02255639097746</v>
      </c>
      <c r="Y46" s="123">
        <f t="shared" si="1"/>
        <v>570.2643609022557</v>
      </c>
      <c r="Z46" s="175">
        <f t="shared" si="30"/>
        <v>231.54103421661952</v>
      </c>
      <c r="AA46" s="176">
        <f t="shared" si="12"/>
        <v>41.67738615899151</v>
      </c>
      <c r="AB46" s="176">
        <f t="shared" si="13"/>
        <v>611.94174706124727</v>
      </c>
      <c r="AC46" s="123">
        <f t="shared" si="2"/>
        <v>3797.8269813974093</v>
      </c>
      <c r="AD46" s="171">
        <f t="shared" si="14"/>
        <v>75.956539627948189</v>
      </c>
      <c r="AE46" s="171">
        <f t="shared" si="22"/>
        <v>3873.7835210253575</v>
      </c>
      <c r="AF46" s="171">
        <f t="shared" si="15"/>
        <v>697.28103378456433</v>
      </c>
      <c r="AG46" s="171">
        <f t="shared" si="16"/>
        <v>4571.0645548099219</v>
      </c>
      <c r="AH46" s="177">
        <f t="shared" si="31"/>
        <v>0.49793731533877145</v>
      </c>
      <c r="AI46" s="130">
        <f t="shared" si="18"/>
        <v>19.354823447218045</v>
      </c>
      <c r="AJ46" s="128">
        <f t="shared" si="3"/>
        <v>2918.6645548099218</v>
      </c>
      <c r="AK46" s="178">
        <f t="shared" si="19"/>
        <v>85.339286723317116</v>
      </c>
    </row>
    <row r="47" spans="1:37" x14ac:dyDescent="0.2">
      <c r="A47" s="46" t="s">
        <v>186</v>
      </c>
      <c r="B47" s="43" t="s">
        <v>181</v>
      </c>
      <c r="C47" s="40" t="s">
        <v>9</v>
      </c>
      <c r="D47" s="40" t="s">
        <v>59</v>
      </c>
      <c r="E47" s="40" t="s">
        <v>62</v>
      </c>
      <c r="F47" s="43" t="s">
        <v>2</v>
      </c>
      <c r="G47" s="41">
        <v>2.35</v>
      </c>
      <c r="H47" s="46">
        <v>540</v>
      </c>
      <c r="I47" s="43">
        <v>17</v>
      </c>
      <c r="J47" s="44">
        <v>9180</v>
      </c>
      <c r="K47" s="44">
        <f t="shared" si="20"/>
        <v>21573</v>
      </c>
      <c r="L47" s="44">
        <f t="shared" si="4"/>
        <v>21913</v>
      </c>
      <c r="M47" s="45">
        <v>220</v>
      </c>
      <c r="N47" s="168">
        <f t="shared" si="21"/>
        <v>2019.6</v>
      </c>
      <c r="O47" s="169">
        <f t="shared" si="5"/>
        <v>0</v>
      </c>
      <c r="P47" s="169">
        <f t="shared" si="6"/>
        <v>0</v>
      </c>
      <c r="Q47" s="170">
        <f t="shared" si="7"/>
        <v>0</v>
      </c>
      <c r="R47" s="171">
        <f t="shared" si="27"/>
        <v>0.12451063829787234</v>
      </c>
      <c r="S47" s="172">
        <v>0.17</v>
      </c>
      <c r="T47" s="172"/>
      <c r="U47" s="125">
        <f t="shared" si="28"/>
        <v>2757.4511278195491</v>
      </c>
      <c r="V47" s="174">
        <f t="shared" si="9"/>
        <v>1373</v>
      </c>
      <c r="W47" s="171">
        <f t="shared" si="29"/>
        <v>12.863390789812195</v>
      </c>
      <c r="X47" s="123">
        <f t="shared" si="0"/>
        <v>551.4902255639098</v>
      </c>
      <c r="Y47" s="123">
        <f t="shared" si="1"/>
        <v>595.60944360902261</v>
      </c>
      <c r="Z47" s="175">
        <f t="shared" si="30"/>
        <v>231.54103421661952</v>
      </c>
      <c r="AA47" s="176">
        <f t="shared" si="12"/>
        <v>41.67738615899151</v>
      </c>
      <c r="AB47" s="176">
        <f t="shared" si="13"/>
        <v>637.28682976801406</v>
      </c>
      <c r="AC47" s="123">
        <f t="shared" si="2"/>
        <v>4188.494650570341</v>
      </c>
      <c r="AD47" s="171">
        <f t="shared" si="14"/>
        <v>83.769893011406822</v>
      </c>
      <c r="AE47" s="171">
        <f t="shared" si="22"/>
        <v>4272.2645435817476</v>
      </c>
      <c r="AF47" s="171">
        <f t="shared" si="15"/>
        <v>769.00761784471456</v>
      </c>
      <c r="AG47" s="171">
        <f t="shared" si="16"/>
        <v>5041.2721614264619</v>
      </c>
      <c r="AH47" s="177">
        <f t="shared" si="31"/>
        <v>0.54915818751922241</v>
      </c>
      <c r="AI47" s="130">
        <f t="shared" si="18"/>
        <v>21.345778748872174</v>
      </c>
      <c r="AJ47" s="128">
        <f t="shared" si="3"/>
        <v>3021.672161426462</v>
      </c>
      <c r="AK47" s="178">
        <f t="shared" si="19"/>
        <v>131.72078807670044</v>
      </c>
    </row>
    <row r="48" spans="1:37" x14ac:dyDescent="0.2">
      <c r="A48" s="142"/>
      <c r="B48" s="190"/>
      <c r="C48" s="191"/>
      <c r="D48" s="144"/>
      <c r="E48" s="144"/>
      <c r="F48" s="143"/>
      <c r="G48" s="145"/>
      <c r="H48" s="146"/>
      <c r="I48" s="147"/>
      <c r="J48" s="148"/>
      <c r="K48" s="149"/>
      <c r="L48" s="149"/>
      <c r="M48" s="188"/>
      <c r="N48" s="151"/>
      <c r="O48" s="152"/>
      <c r="P48" s="152"/>
      <c r="Q48" s="153"/>
      <c r="R48" s="154"/>
      <c r="S48" s="155"/>
      <c r="T48" s="155"/>
      <c r="U48" s="156"/>
      <c r="V48" s="157"/>
      <c r="W48" s="154"/>
      <c r="X48" s="123">
        <f t="shared" si="0"/>
        <v>0</v>
      </c>
      <c r="Y48" s="123">
        <f t="shared" si="1"/>
        <v>0</v>
      </c>
      <c r="Z48" s="158"/>
      <c r="AA48" s="159"/>
      <c r="AB48" s="159"/>
      <c r="AC48" s="123">
        <f t="shared" si="2"/>
        <v>0</v>
      </c>
      <c r="AD48" s="154"/>
      <c r="AE48" s="154"/>
      <c r="AF48" s="154"/>
      <c r="AG48" s="154"/>
      <c r="AH48" s="160"/>
      <c r="AI48" s="160"/>
      <c r="AJ48" s="128">
        <f t="shared" si="3"/>
        <v>0</v>
      </c>
      <c r="AK48" s="161"/>
    </row>
    <row r="49" spans="1:37" x14ac:dyDescent="0.2">
      <c r="A49" s="22" t="s">
        <v>106</v>
      </c>
      <c r="B49" s="23" t="s">
        <v>13</v>
      </c>
      <c r="C49" s="5" t="s">
        <v>1</v>
      </c>
      <c r="D49" s="5" t="s">
        <v>56</v>
      </c>
      <c r="E49" s="5" t="s">
        <v>57</v>
      </c>
      <c r="F49" s="23" t="s">
        <v>2</v>
      </c>
      <c r="G49" s="24">
        <v>2.25</v>
      </c>
      <c r="H49" s="25">
        <v>528</v>
      </c>
      <c r="I49" s="8">
        <v>18</v>
      </c>
      <c r="J49" s="35">
        <v>9504</v>
      </c>
      <c r="K49" s="35">
        <f t="shared" si="20"/>
        <v>21384</v>
      </c>
      <c r="L49" s="35">
        <f t="shared" si="4"/>
        <v>21744</v>
      </c>
      <c r="M49" s="26">
        <v>296</v>
      </c>
      <c r="N49" s="50">
        <f t="shared" si="21"/>
        <v>2813.1840000000002</v>
      </c>
      <c r="O49" s="113">
        <f t="shared" si="5"/>
        <v>0</v>
      </c>
      <c r="P49" s="113">
        <f t="shared" si="6"/>
        <v>0</v>
      </c>
      <c r="Q49" s="114">
        <f t="shared" si="7"/>
        <v>0</v>
      </c>
      <c r="R49" s="123">
        <f>N49/K49*$N$1</f>
        <v>0.17496888888888892</v>
      </c>
      <c r="S49" s="124">
        <v>0.17</v>
      </c>
      <c r="T49" s="124"/>
      <c r="U49" s="125">
        <f>N49</f>
        <v>2813.1840000000002</v>
      </c>
      <c r="V49" s="126">
        <f t="shared" si="9"/>
        <v>1373</v>
      </c>
      <c r="W49" s="115">
        <f>$W$7/N$2</f>
        <v>12.863390789812195</v>
      </c>
      <c r="X49" s="123">
        <f t="shared" si="0"/>
        <v>562.63680000000011</v>
      </c>
      <c r="Y49" s="123">
        <f t="shared" si="1"/>
        <v>607.6477440000001</v>
      </c>
      <c r="Z49" s="127">
        <f>$Z$7/$N$2</f>
        <v>231.54103421661952</v>
      </c>
      <c r="AA49" s="128">
        <f t="shared" si="12"/>
        <v>41.67738615899151</v>
      </c>
      <c r="AB49" s="128">
        <f t="shared" si="13"/>
        <v>649.32513015899167</v>
      </c>
      <c r="AC49" s="123">
        <f t="shared" si="2"/>
        <v>4993.2252250064321</v>
      </c>
      <c r="AD49" s="129">
        <f t="shared" si="14"/>
        <v>99.864504500128646</v>
      </c>
      <c r="AE49" s="129">
        <f t="shared" si="22"/>
        <v>5093.0897295065606</v>
      </c>
      <c r="AF49" s="129">
        <f t="shared" si="15"/>
        <v>916.75615131118093</v>
      </c>
      <c r="AG49" s="129">
        <f t="shared" si="16"/>
        <v>6009.845880817742</v>
      </c>
      <c r="AH49" s="130">
        <f>AG49/J49</f>
        <v>0.6323491036213954</v>
      </c>
      <c r="AI49" s="130">
        <f t="shared" si="18"/>
        <v>24.579409657763637</v>
      </c>
      <c r="AJ49" s="128">
        <f t="shared" si="3"/>
        <v>3196.6618808177418</v>
      </c>
      <c r="AK49" s="122">
        <f t="shared" si="19"/>
        <v>267.43102115218932</v>
      </c>
    </row>
    <row r="50" spans="1:37" x14ac:dyDescent="0.2">
      <c r="A50" s="189"/>
      <c r="B50" s="190"/>
      <c r="C50" s="191"/>
      <c r="D50" s="191"/>
      <c r="E50" s="191"/>
      <c r="F50" s="190"/>
      <c r="G50" s="145"/>
      <c r="H50" s="146"/>
      <c r="I50" s="147"/>
      <c r="J50" s="148"/>
      <c r="K50" s="149"/>
      <c r="L50" s="149"/>
      <c r="M50" s="188"/>
      <c r="N50" s="151"/>
      <c r="O50" s="152"/>
      <c r="P50" s="152"/>
      <c r="Q50" s="153"/>
      <c r="R50" s="154"/>
      <c r="S50" s="155"/>
      <c r="T50" s="155"/>
      <c r="U50" s="156"/>
      <c r="V50" s="157"/>
      <c r="W50" s="154">
        <f>$W$7/N$2</f>
        <v>12.863390789812195</v>
      </c>
      <c r="X50" s="123">
        <f t="shared" si="0"/>
        <v>0</v>
      </c>
      <c r="Y50" s="123">
        <f t="shared" si="1"/>
        <v>0</v>
      </c>
      <c r="Z50" s="158">
        <f>$Z$7/$N$2</f>
        <v>231.54103421661952</v>
      </c>
      <c r="AA50" s="159"/>
      <c r="AB50" s="159"/>
      <c r="AC50" s="123">
        <f t="shared" si="2"/>
        <v>244.40442500643172</v>
      </c>
      <c r="AD50" s="154"/>
      <c r="AE50" s="154"/>
      <c r="AF50" s="154"/>
      <c r="AG50" s="154"/>
      <c r="AH50" s="160"/>
      <c r="AI50" s="160"/>
      <c r="AJ50" s="128">
        <f t="shared" si="3"/>
        <v>0</v>
      </c>
      <c r="AK50" s="161"/>
    </row>
    <row r="51" spans="1:37" x14ac:dyDescent="0.2">
      <c r="A51" s="22" t="s">
        <v>107</v>
      </c>
      <c r="B51" s="23" t="s">
        <v>14</v>
      </c>
      <c r="C51" s="5" t="s">
        <v>1</v>
      </c>
      <c r="D51" s="5" t="s">
        <v>56</v>
      </c>
      <c r="E51" s="5" t="s">
        <v>57</v>
      </c>
      <c r="F51" s="23" t="s">
        <v>2</v>
      </c>
      <c r="G51" s="24">
        <v>2.85</v>
      </c>
      <c r="H51" s="25">
        <v>440</v>
      </c>
      <c r="I51" s="8">
        <v>17</v>
      </c>
      <c r="J51" s="35">
        <v>7480</v>
      </c>
      <c r="K51" s="35">
        <f t="shared" si="20"/>
        <v>21318</v>
      </c>
      <c r="L51" s="35">
        <f t="shared" si="4"/>
        <v>21658</v>
      </c>
      <c r="M51" s="26">
        <v>332</v>
      </c>
      <c r="N51" s="50">
        <f t="shared" si="21"/>
        <v>2483.36</v>
      </c>
      <c r="O51" s="113">
        <f t="shared" si="5"/>
        <v>0</v>
      </c>
      <c r="P51" s="113">
        <f t="shared" si="6"/>
        <v>0</v>
      </c>
      <c r="Q51" s="114">
        <f t="shared" si="7"/>
        <v>0</v>
      </c>
      <c r="R51" s="123">
        <f>N51/K51*$N$1</f>
        <v>0.15493333333333337</v>
      </c>
      <c r="S51" s="124">
        <v>0.17</v>
      </c>
      <c r="T51" s="124"/>
      <c r="U51" s="125">
        <f>S51*K51/$N$1</f>
        <v>2724.8571428571431</v>
      </c>
      <c r="V51" s="126">
        <f t="shared" si="9"/>
        <v>1373</v>
      </c>
      <c r="W51" s="115">
        <f>$W$7/N$2</f>
        <v>12.863390789812195</v>
      </c>
      <c r="X51" s="123">
        <f t="shared" si="0"/>
        <v>544.97142857142865</v>
      </c>
      <c r="Y51" s="123">
        <f t="shared" si="1"/>
        <v>588.56914285714288</v>
      </c>
      <c r="Z51" s="127">
        <f>$Z$7/$N$2</f>
        <v>231.54103421661952</v>
      </c>
      <c r="AA51" s="128">
        <f t="shared" si="12"/>
        <v>41.67738615899151</v>
      </c>
      <c r="AB51" s="128">
        <f t="shared" si="13"/>
        <v>630.24652901613445</v>
      </c>
      <c r="AC51" s="123">
        <f t="shared" si="2"/>
        <v>4645.7358535778603</v>
      </c>
      <c r="AD51" s="129">
        <f t="shared" si="14"/>
        <v>92.914717071557206</v>
      </c>
      <c r="AE51" s="129">
        <f t="shared" si="22"/>
        <v>4738.6505706494172</v>
      </c>
      <c r="AF51" s="129">
        <f t="shared" si="15"/>
        <v>852.95710271689506</v>
      </c>
      <c r="AG51" s="129">
        <f t="shared" si="16"/>
        <v>5591.6076733663122</v>
      </c>
      <c r="AH51" s="130">
        <f>AG51/J51</f>
        <v>0.74754113280298295</v>
      </c>
      <c r="AI51" s="130">
        <f t="shared" si="18"/>
        <v>29.056923832051947</v>
      </c>
      <c r="AJ51" s="128">
        <f t="shared" si="3"/>
        <v>3108.247673366312</v>
      </c>
      <c r="AK51" s="122">
        <f t="shared" si="19"/>
        <v>222.71057370076068</v>
      </c>
    </row>
    <row r="52" spans="1:37" x14ac:dyDescent="0.2">
      <c r="A52" s="22" t="s">
        <v>108</v>
      </c>
      <c r="B52" s="23" t="s">
        <v>14</v>
      </c>
      <c r="C52" s="5" t="s">
        <v>6</v>
      </c>
      <c r="D52" s="5" t="s">
        <v>56</v>
      </c>
      <c r="E52" s="5" t="s">
        <v>61</v>
      </c>
      <c r="F52" s="23" t="s">
        <v>2</v>
      </c>
      <c r="G52" s="24">
        <v>2.85</v>
      </c>
      <c r="H52" s="25">
        <v>440</v>
      </c>
      <c r="I52" s="8">
        <v>17</v>
      </c>
      <c r="J52" s="35">
        <v>7480</v>
      </c>
      <c r="K52" s="35">
        <f t="shared" si="20"/>
        <v>21318</v>
      </c>
      <c r="L52" s="35">
        <f t="shared" si="4"/>
        <v>21658</v>
      </c>
      <c r="M52" s="26">
        <v>332</v>
      </c>
      <c r="N52" s="50">
        <f t="shared" si="21"/>
        <v>2483.36</v>
      </c>
      <c r="O52" s="113">
        <f t="shared" si="5"/>
        <v>0</v>
      </c>
      <c r="P52" s="113">
        <f t="shared" si="6"/>
        <v>0</v>
      </c>
      <c r="Q52" s="114">
        <f t="shared" si="7"/>
        <v>0</v>
      </c>
      <c r="R52" s="123">
        <f>N52/K52*$N$1</f>
        <v>0.15493333333333337</v>
      </c>
      <c r="S52" s="124">
        <v>0.17</v>
      </c>
      <c r="T52" s="124"/>
      <c r="U52" s="125">
        <f>S52*K52/$N$1</f>
        <v>2724.8571428571431</v>
      </c>
      <c r="V52" s="126">
        <f t="shared" si="9"/>
        <v>1373</v>
      </c>
      <c r="W52" s="115">
        <f>$W$7/N$2</f>
        <v>12.863390789812195</v>
      </c>
      <c r="X52" s="123">
        <f t="shared" si="0"/>
        <v>544.97142857142865</v>
      </c>
      <c r="Y52" s="123">
        <f t="shared" si="1"/>
        <v>588.56914285714288</v>
      </c>
      <c r="Z52" s="127">
        <f>$Z$7/$N$2</f>
        <v>231.54103421661952</v>
      </c>
      <c r="AA52" s="128">
        <f t="shared" si="12"/>
        <v>41.67738615899151</v>
      </c>
      <c r="AB52" s="128">
        <f t="shared" si="13"/>
        <v>630.24652901613445</v>
      </c>
      <c r="AC52" s="123">
        <f t="shared" si="2"/>
        <v>4645.7358535778603</v>
      </c>
      <c r="AD52" s="129">
        <f t="shared" si="14"/>
        <v>92.914717071557206</v>
      </c>
      <c r="AE52" s="129">
        <f t="shared" si="22"/>
        <v>4738.6505706494172</v>
      </c>
      <c r="AF52" s="129">
        <f t="shared" si="15"/>
        <v>852.95710271689506</v>
      </c>
      <c r="AG52" s="129">
        <f t="shared" si="16"/>
        <v>5591.6076733663122</v>
      </c>
      <c r="AH52" s="130">
        <f>AG52/J52</f>
        <v>0.74754113280298295</v>
      </c>
      <c r="AI52" s="130">
        <f t="shared" si="18"/>
        <v>29.056923832051947</v>
      </c>
      <c r="AJ52" s="128">
        <f t="shared" si="3"/>
        <v>3108.247673366312</v>
      </c>
      <c r="AK52" s="122">
        <f t="shared" si="19"/>
        <v>222.71057370076068</v>
      </c>
    </row>
    <row r="53" spans="1:37" x14ac:dyDescent="0.2">
      <c r="A53" s="189"/>
      <c r="B53" s="190"/>
      <c r="C53" s="191"/>
      <c r="D53" s="191"/>
      <c r="E53" s="191"/>
      <c r="F53" s="190"/>
      <c r="G53" s="145"/>
      <c r="H53" s="146"/>
      <c r="I53" s="147"/>
      <c r="J53" s="148"/>
      <c r="K53" s="149"/>
      <c r="L53" s="149"/>
      <c r="M53" s="188"/>
      <c r="N53" s="151"/>
      <c r="O53" s="152"/>
      <c r="P53" s="152"/>
      <c r="Q53" s="153"/>
      <c r="R53" s="154"/>
      <c r="S53" s="155"/>
      <c r="T53" s="155"/>
      <c r="U53" s="156"/>
      <c r="V53" s="157"/>
      <c r="W53" s="154"/>
      <c r="X53" s="123">
        <f t="shared" si="0"/>
        <v>0</v>
      </c>
      <c r="Y53" s="123">
        <f t="shared" si="1"/>
        <v>0</v>
      </c>
      <c r="Z53" s="158"/>
      <c r="AA53" s="159"/>
      <c r="AB53" s="159"/>
      <c r="AC53" s="123">
        <f t="shared" si="2"/>
        <v>0</v>
      </c>
      <c r="AD53" s="154"/>
      <c r="AE53" s="154"/>
      <c r="AF53" s="154"/>
      <c r="AG53" s="154"/>
      <c r="AH53" s="160"/>
      <c r="AI53" s="160"/>
      <c r="AJ53" s="128">
        <f t="shared" si="3"/>
        <v>0</v>
      </c>
      <c r="AK53" s="161"/>
    </row>
    <row r="54" spans="1:37" x14ac:dyDescent="0.2">
      <c r="A54" s="22" t="s">
        <v>109</v>
      </c>
      <c r="B54" s="23" t="s">
        <v>4</v>
      </c>
      <c r="C54" s="5" t="s">
        <v>15</v>
      </c>
      <c r="D54" s="5" t="s">
        <v>56</v>
      </c>
      <c r="E54" s="5" t="s">
        <v>57</v>
      </c>
      <c r="F54" s="23" t="s">
        <v>16</v>
      </c>
      <c r="G54" s="24">
        <v>2.95</v>
      </c>
      <c r="H54" s="25">
        <v>420</v>
      </c>
      <c r="I54" s="8">
        <v>17</v>
      </c>
      <c r="J54" s="35">
        <v>7140</v>
      </c>
      <c r="K54" s="35">
        <f t="shared" si="20"/>
        <v>21063</v>
      </c>
      <c r="L54" s="35">
        <f t="shared" si="4"/>
        <v>21403</v>
      </c>
      <c r="M54" s="26">
        <v>393</v>
      </c>
      <c r="N54" s="50">
        <f t="shared" si="21"/>
        <v>2806.02</v>
      </c>
      <c r="O54" s="113">
        <f t="shared" si="5"/>
        <v>0</v>
      </c>
      <c r="P54" s="113">
        <f t="shared" si="6"/>
        <v>0</v>
      </c>
      <c r="Q54" s="114">
        <f t="shared" si="7"/>
        <v>0</v>
      </c>
      <c r="R54" s="123">
        <f t="shared" ref="R54:R65" si="32">N54/K54*$N$1</f>
        <v>0.17718305084745764</v>
      </c>
      <c r="S54" s="124">
        <v>0.17</v>
      </c>
      <c r="T54" s="124"/>
      <c r="U54" s="125">
        <f>N54</f>
        <v>2806.02</v>
      </c>
      <c r="V54" s="126">
        <f t="shared" si="9"/>
        <v>1373</v>
      </c>
      <c r="W54" s="115">
        <f t="shared" ref="W54:W65" si="33">$W$7/N$2</f>
        <v>12.863390789812195</v>
      </c>
      <c r="X54" s="123">
        <f t="shared" si="0"/>
        <v>561.20400000000006</v>
      </c>
      <c r="Y54" s="123">
        <f t="shared" si="1"/>
        <v>606.10032000000001</v>
      </c>
      <c r="Z54" s="127">
        <f t="shared" ref="Z54:Z65" si="34">$Z$7/$N$2</f>
        <v>231.54103421661952</v>
      </c>
      <c r="AA54" s="128">
        <f t="shared" si="12"/>
        <v>41.67738615899151</v>
      </c>
      <c r="AB54" s="128">
        <f t="shared" si="13"/>
        <v>647.77770615899158</v>
      </c>
      <c r="AC54" s="123">
        <f t="shared" si="2"/>
        <v>4984.6284250064318</v>
      </c>
      <c r="AD54" s="129">
        <f t="shared" si="14"/>
        <v>99.692568500128644</v>
      </c>
      <c r="AE54" s="129">
        <f t="shared" si="22"/>
        <v>5084.3209935065606</v>
      </c>
      <c r="AF54" s="129">
        <f t="shared" si="15"/>
        <v>915.17777883118083</v>
      </c>
      <c r="AG54" s="129">
        <f t="shared" si="16"/>
        <v>5999.4987723377417</v>
      </c>
      <c r="AH54" s="130">
        <f t="shared" ref="AH54:AH65" si="35">AG54/J54</f>
        <v>0.84026593450108422</v>
      </c>
      <c r="AI54" s="130">
        <f t="shared" si="18"/>
        <v>32.661136874057142</v>
      </c>
      <c r="AJ54" s="128">
        <f t="shared" si="3"/>
        <v>3193.4787723377417</v>
      </c>
      <c r="AK54" s="122">
        <f t="shared" si="19"/>
        <v>267.40007267218931</v>
      </c>
    </row>
    <row r="55" spans="1:37" x14ac:dyDescent="0.2">
      <c r="A55" s="22" t="s">
        <v>110</v>
      </c>
      <c r="B55" s="23" t="s">
        <v>4</v>
      </c>
      <c r="C55" s="5" t="s">
        <v>17</v>
      </c>
      <c r="D55" s="5" t="s">
        <v>56</v>
      </c>
      <c r="E55" s="5" t="s">
        <v>57</v>
      </c>
      <c r="F55" s="23" t="s">
        <v>16</v>
      </c>
      <c r="G55" s="24">
        <v>2.9</v>
      </c>
      <c r="H55" s="25">
        <v>420</v>
      </c>
      <c r="I55" s="8">
        <v>17</v>
      </c>
      <c r="J55" s="35">
        <v>7140</v>
      </c>
      <c r="K55" s="35">
        <f t="shared" si="20"/>
        <v>20706</v>
      </c>
      <c r="L55" s="35">
        <f t="shared" si="4"/>
        <v>21046</v>
      </c>
      <c r="M55" s="26">
        <v>393</v>
      </c>
      <c r="N55" s="50">
        <f t="shared" si="21"/>
        <v>2806.02</v>
      </c>
      <c r="O55" s="113">
        <f t="shared" si="5"/>
        <v>0</v>
      </c>
      <c r="P55" s="113">
        <f t="shared" si="6"/>
        <v>0</v>
      </c>
      <c r="Q55" s="114">
        <f t="shared" si="7"/>
        <v>0</v>
      </c>
      <c r="R55" s="123">
        <f t="shared" si="32"/>
        <v>0.18023793103448277</v>
      </c>
      <c r="S55" s="124">
        <v>0.17</v>
      </c>
      <c r="T55" s="124"/>
      <c r="U55" s="125">
        <f t="shared" ref="U55:U68" si="36">N55</f>
        <v>2806.02</v>
      </c>
      <c r="V55" s="126">
        <f t="shared" si="9"/>
        <v>1373</v>
      </c>
      <c r="W55" s="115">
        <f t="shared" si="33"/>
        <v>12.863390789812195</v>
      </c>
      <c r="X55" s="123">
        <f t="shared" si="0"/>
        <v>561.20400000000006</v>
      </c>
      <c r="Y55" s="123">
        <f t="shared" si="1"/>
        <v>606.10032000000001</v>
      </c>
      <c r="Z55" s="127">
        <f t="shared" si="34"/>
        <v>231.54103421661952</v>
      </c>
      <c r="AA55" s="128">
        <f t="shared" si="12"/>
        <v>41.67738615899151</v>
      </c>
      <c r="AB55" s="128">
        <f t="shared" si="13"/>
        <v>647.77770615899158</v>
      </c>
      <c r="AC55" s="123">
        <f t="shared" si="2"/>
        <v>4984.6284250064318</v>
      </c>
      <c r="AD55" s="129">
        <f t="shared" si="14"/>
        <v>99.692568500128644</v>
      </c>
      <c r="AE55" s="129">
        <f t="shared" si="22"/>
        <v>5084.3209935065606</v>
      </c>
      <c r="AF55" s="129">
        <f t="shared" si="15"/>
        <v>915.17777883118083</v>
      </c>
      <c r="AG55" s="129">
        <f t="shared" si="16"/>
        <v>5999.4987723377417</v>
      </c>
      <c r="AH55" s="130">
        <f t="shared" si="35"/>
        <v>0.84026593450108422</v>
      </c>
      <c r="AI55" s="130">
        <f t="shared" si="18"/>
        <v>32.661136874057142</v>
      </c>
      <c r="AJ55" s="128">
        <f t="shared" si="3"/>
        <v>3193.4787723377417</v>
      </c>
      <c r="AK55" s="122">
        <f t="shared" si="19"/>
        <v>267.40007267218931</v>
      </c>
    </row>
    <row r="56" spans="1:37" x14ac:dyDescent="0.2">
      <c r="A56" s="22" t="s">
        <v>111</v>
      </c>
      <c r="B56" s="23" t="s">
        <v>4</v>
      </c>
      <c r="C56" s="5" t="s">
        <v>18</v>
      </c>
      <c r="D56" s="5" t="s">
        <v>56</v>
      </c>
      <c r="E56" s="5" t="s">
        <v>57</v>
      </c>
      <c r="F56" s="23" t="s">
        <v>16</v>
      </c>
      <c r="G56" s="24">
        <v>2.9</v>
      </c>
      <c r="H56" s="25">
        <v>420</v>
      </c>
      <c r="I56" s="8">
        <v>17</v>
      </c>
      <c r="J56" s="35">
        <v>7140</v>
      </c>
      <c r="K56" s="35">
        <f t="shared" si="20"/>
        <v>20706</v>
      </c>
      <c r="L56" s="35">
        <f t="shared" si="4"/>
        <v>21046</v>
      </c>
      <c r="M56" s="26">
        <v>393</v>
      </c>
      <c r="N56" s="50">
        <f t="shared" si="21"/>
        <v>2806.02</v>
      </c>
      <c r="O56" s="113">
        <f t="shared" si="5"/>
        <v>0</v>
      </c>
      <c r="P56" s="113">
        <f t="shared" si="6"/>
        <v>0</v>
      </c>
      <c r="Q56" s="114">
        <f t="shared" si="7"/>
        <v>0</v>
      </c>
      <c r="R56" s="123">
        <f t="shared" si="32"/>
        <v>0.18023793103448277</v>
      </c>
      <c r="S56" s="124">
        <v>0.17</v>
      </c>
      <c r="T56" s="124"/>
      <c r="U56" s="125">
        <f t="shared" si="36"/>
        <v>2806.02</v>
      </c>
      <c r="V56" s="126">
        <f t="shared" si="9"/>
        <v>1373</v>
      </c>
      <c r="W56" s="115">
        <f t="shared" si="33"/>
        <v>12.863390789812195</v>
      </c>
      <c r="X56" s="123">
        <f t="shared" si="0"/>
        <v>561.20400000000006</v>
      </c>
      <c r="Y56" s="123">
        <f t="shared" si="1"/>
        <v>606.10032000000001</v>
      </c>
      <c r="Z56" s="127">
        <f t="shared" si="34"/>
        <v>231.54103421661952</v>
      </c>
      <c r="AA56" s="128">
        <f t="shared" si="12"/>
        <v>41.67738615899151</v>
      </c>
      <c r="AB56" s="128">
        <f t="shared" si="13"/>
        <v>647.77770615899158</v>
      </c>
      <c r="AC56" s="123">
        <f t="shared" si="2"/>
        <v>4984.6284250064318</v>
      </c>
      <c r="AD56" s="129">
        <f t="shared" si="14"/>
        <v>99.692568500128644</v>
      </c>
      <c r="AE56" s="129">
        <f t="shared" si="22"/>
        <v>5084.3209935065606</v>
      </c>
      <c r="AF56" s="129">
        <f t="shared" si="15"/>
        <v>915.17777883118083</v>
      </c>
      <c r="AG56" s="129">
        <f t="shared" si="16"/>
        <v>5999.4987723377417</v>
      </c>
      <c r="AH56" s="130">
        <f t="shared" si="35"/>
        <v>0.84026593450108422</v>
      </c>
      <c r="AI56" s="130">
        <f t="shared" si="18"/>
        <v>32.661136874057142</v>
      </c>
      <c r="AJ56" s="128">
        <f t="shared" si="3"/>
        <v>3193.4787723377417</v>
      </c>
      <c r="AK56" s="122">
        <f t="shared" si="19"/>
        <v>267.40007267218931</v>
      </c>
    </row>
    <row r="57" spans="1:37" x14ac:dyDescent="0.2">
      <c r="A57" s="22" t="s">
        <v>112</v>
      </c>
      <c r="B57" s="23" t="s">
        <v>4</v>
      </c>
      <c r="C57" s="5" t="s">
        <v>19</v>
      </c>
      <c r="D57" s="5" t="s">
        <v>56</v>
      </c>
      <c r="E57" s="5" t="s">
        <v>57</v>
      </c>
      <c r="F57" s="23" t="s">
        <v>16</v>
      </c>
      <c r="G57" s="24">
        <v>2.9</v>
      </c>
      <c r="H57" s="25">
        <v>420</v>
      </c>
      <c r="I57" s="8">
        <v>17</v>
      </c>
      <c r="J57" s="35">
        <v>7140</v>
      </c>
      <c r="K57" s="35">
        <f t="shared" si="20"/>
        <v>20706</v>
      </c>
      <c r="L57" s="35">
        <f t="shared" si="4"/>
        <v>21046</v>
      </c>
      <c r="M57" s="26">
        <v>393</v>
      </c>
      <c r="N57" s="50">
        <f t="shared" si="21"/>
        <v>2806.02</v>
      </c>
      <c r="O57" s="113">
        <f t="shared" si="5"/>
        <v>0</v>
      </c>
      <c r="P57" s="113">
        <f t="shared" si="6"/>
        <v>0</v>
      </c>
      <c r="Q57" s="114">
        <f t="shared" si="7"/>
        <v>0</v>
      </c>
      <c r="R57" s="123">
        <f t="shared" si="32"/>
        <v>0.18023793103448277</v>
      </c>
      <c r="S57" s="124">
        <v>0.17</v>
      </c>
      <c r="T57" s="124"/>
      <c r="U57" s="125">
        <f t="shared" si="36"/>
        <v>2806.02</v>
      </c>
      <c r="V57" s="126">
        <f t="shared" si="9"/>
        <v>1373</v>
      </c>
      <c r="W57" s="115">
        <f t="shared" si="33"/>
        <v>12.863390789812195</v>
      </c>
      <c r="X57" s="123">
        <f t="shared" si="0"/>
        <v>561.20400000000006</v>
      </c>
      <c r="Y57" s="123">
        <f t="shared" si="1"/>
        <v>606.10032000000001</v>
      </c>
      <c r="Z57" s="127">
        <f t="shared" si="34"/>
        <v>231.54103421661952</v>
      </c>
      <c r="AA57" s="128">
        <f t="shared" si="12"/>
        <v>41.67738615899151</v>
      </c>
      <c r="AB57" s="128">
        <f t="shared" si="13"/>
        <v>647.77770615899158</v>
      </c>
      <c r="AC57" s="123">
        <f t="shared" si="2"/>
        <v>4984.6284250064318</v>
      </c>
      <c r="AD57" s="129">
        <f t="shared" si="14"/>
        <v>99.692568500128644</v>
      </c>
      <c r="AE57" s="129">
        <f t="shared" si="22"/>
        <v>5084.3209935065606</v>
      </c>
      <c r="AF57" s="129">
        <f t="shared" si="15"/>
        <v>915.17777883118083</v>
      </c>
      <c r="AG57" s="129">
        <f t="shared" si="16"/>
        <v>5999.4987723377417</v>
      </c>
      <c r="AH57" s="130">
        <f t="shared" si="35"/>
        <v>0.84026593450108422</v>
      </c>
      <c r="AI57" s="130">
        <f t="shared" si="18"/>
        <v>32.661136874057142</v>
      </c>
      <c r="AJ57" s="128">
        <f t="shared" si="3"/>
        <v>3193.4787723377417</v>
      </c>
      <c r="AK57" s="122">
        <f t="shared" si="19"/>
        <v>267.40007267218931</v>
      </c>
    </row>
    <row r="58" spans="1:37" x14ac:dyDescent="0.2">
      <c r="A58" s="22" t="s">
        <v>113</v>
      </c>
      <c r="B58" s="23" t="s">
        <v>4</v>
      </c>
      <c r="C58" s="5" t="s">
        <v>20</v>
      </c>
      <c r="D58" s="5" t="s">
        <v>56</v>
      </c>
      <c r="E58" s="5" t="s">
        <v>57</v>
      </c>
      <c r="F58" s="23" t="s">
        <v>16</v>
      </c>
      <c r="G58" s="24">
        <v>2.9</v>
      </c>
      <c r="H58" s="25">
        <v>420</v>
      </c>
      <c r="I58" s="8">
        <v>17</v>
      </c>
      <c r="J58" s="35">
        <v>7140</v>
      </c>
      <c r="K58" s="35">
        <f t="shared" si="20"/>
        <v>20706</v>
      </c>
      <c r="L58" s="35">
        <f t="shared" si="4"/>
        <v>21046</v>
      </c>
      <c r="M58" s="26">
        <v>393</v>
      </c>
      <c r="N58" s="50">
        <f t="shared" si="21"/>
        <v>2806.02</v>
      </c>
      <c r="O58" s="113">
        <f t="shared" si="5"/>
        <v>0</v>
      </c>
      <c r="P58" s="113">
        <f t="shared" si="6"/>
        <v>0</v>
      </c>
      <c r="Q58" s="114">
        <f t="shared" si="7"/>
        <v>0</v>
      </c>
      <c r="R58" s="123">
        <f t="shared" si="32"/>
        <v>0.18023793103448277</v>
      </c>
      <c r="S58" s="124">
        <v>0.17</v>
      </c>
      <c r="T58" s="124"/>
      <c r="U58" s="125">
        <f t="shared" si="36"/>
        <v>2806.02</v>
      </c>
      <c r="V58" s="126">
        <f t="shared" si="9"/>
        <v>1373</v>
      </c>
      <c r="W58" s="115">
        <f t="shared" si="33"/>
        <v>12.863390789812195</v>
      </c>
      <c r="X58" s="123">
        <f t="shared" si="0"/>
        <v>561.20400000000006</v>
      </c>
      <c r="Y58" s="123">
        <f t="shared" si="1"/>
        <v>606.10032000000001</v>
      </c>
      <c r="Z58" s="127">
        <f t="shared" si="34"/>
        <v>231.54103421661952</v>
      </c>
      <c r="AA58" s="128">
        <f t="shared" si="12"/>
        <v>41.67738615899151</v>
      </c>
      <c r="AB58" s="128">
        <f t="shared" si="13"/>
        <v>647.77770615899158</v>
      </c>
      <c r="AC58" s="123">
        <f t="shared" si="2"/>
        <v>4984.6284250064318</v>
      </c>
      <c r="AD58" s="129">
        <f t="shared" si="14"/>
        <v>99.692568500128644</v>
      </c>
      <c r="AE58" s="129">
        <f t="shared" si="22"/>
        <v>5084.3209935065606</v>
      </c>
      <c r="AF58" s="129">
        <f t="shared" si="15"/>
        <v>915.17777883118083</v>
      </c>
      <c r="AG58" s="129">
        <f t="shared" si="16"/>
        <v>5999.4987723377417</v>
      </c>
      <c r="AH58" s="130">
        <f t="shared" si="35"/>
        <v>0.84026593450108422</v>
      </c>
      <c r="AI58" s="130">
        <f t="shared" si="18"/>
        <v>32.661136874057142</v>
      </c>
      <c r="AJ58" s="128">
        <f t="shared" si="3"/>
        <v>3193.4787723377417</v>
      </c>
      <c r="AK58" s="122">
        <f t="shared" si="19"/>
        <v>267.40007267218931</v>
      </c>
    </row>
    <row r="59" spans="1:37" x14ac:dyDescent="0.2">
      <c r="A59" s="22" t="s">
        <v>114</v>
      </c>
      <c r="B59" s="23" t="s">
        <v>4</v>
      </c>
      <c r="C59" s="5" t="s">
        <v>21</v>
      </c>
      <c r="D59" s="5" t="s">
        <v>56</v>
      </c>
      <c r="E59" s="5" t="s">
        <v>57</v>
      </c>
      <c r="F59" s="23" t="s">
        <v>16</v>
      </c>
      <c r="G59" s="24">
        <v>3.05</v>
      </c>
      <c r="H59" s="25">
        <v>420</v>
      </c>
      <c r="I59" s="8">
        <v>16</v>
      </c>
      <c r="J59" s="35">
        <v>6720</v>
      </c>
      <c r="K59" s="35">
        <f t="shared" si="20"/>
        <v>20496</v>
      </c>
      <c r="L59" s="35">
        <f t="shared" si="4"/>
        <v>20816</v>
      </c>
      <c r="M59" s="26">
        <v>393</v>
      </c>
      <c r="N59" s="50">
        <f t="shared" si="21"/>
        <v>2640.96</v>
      </c>
      <c r="O59" s="113">
        <f t="shared" si="5"/>
        <v>0</v>
      </c>
      <c r="P59" s="113">
        <f t="shared" si="6"/>
        <v>0</v>
      </c>
      <c r="Q59" s="114">
        <f t="shared" si="7"/>
        <v>0</v>
      </c>
      <c r="R59" s="123">
        <f t="shared" si="32"/>
        <v>0.1713737704918033</v>
      </c>
      <c r="S59" s="124">
        <v>0.17</v>
      </c>
      <c r="T59" s="124"/>
      <c r="U59" s="125">
        <f t="shared" si="36"/>
        <v>2640.96</v>
      </c>
      <c r="V59" s="126">
        <f t="shared" si="9"/>
        <v>1373</v>
      </c>
      <c r="W59" s="115">
        <f t="shared" si="33"/>
        <v>12.863390789812195</v>
      </c>
      <c r="X59" s="123">
        <f t="shared" si="0"/>
        <v>528.19200000000001</v>
      </c>
      <c r="Y59" s="123">
        <f t="shared" si="1"/>
        <v>570.44736</v>
      </c>
      <c r="Z59" s="127">
        <f t="shared" si="34"/>
        <v>231.54103421661952</v>
      </c>
      <c r="AA59" s="128">
        <f t="shared" si="12"/>
        <v>41.67738615899151</v>
      </c>
      <c r="AB59" s="128">
        <f t="shared" si="13"/>
        <v>612.12474615899146</v>
      </c>
      <c r="AC59" s="123">
        <f t="shared" si="2"/>
        <v>4786.5564250064317</v>
      </c>
      <c r="AD59" s="129">
        <f t="shared" si="14"/>
        <v>95.731128500128634</v>
      </c>
      <c r="AE59" s="129">
        <f t="shared" si="22"/>
        <v>4882.2875535065605</v>
      </c>
      <c r="AF59" s="129">
        <f t="shared" si="15"/>
        <v>878.81175963118085</v>
      </c>
      <c r="AG59" s="129">
        <f t="shared" si="16"/>
        <v>5761.0993131377418</v>
      </c>
      <c r="AH59" s="130">
        <f t="shared" si="35"/>
        <v>0.85730644540740208</v>
      </c>
      <c r="AI59" s="130">
        <f t="shared" si="18"/>
        <v>33.323501532985716</v>
      </c>
      <c r="AJ59" s="128">
        <f t="shared" si="3"/>
        <v>3120.1393131377417</v>
      </c>
      <c r="AK59" s="122">
        <f t="shared" si="19"/>
        <v>266.68701347218934</v>
      </c>
    </row>
    <row r="60" spans="1:37" x14ac:dyDescent="0.2">
      <c r="A60" s="22" t="s">
        <v>115</v>
      </c>
      <c r="B60" s="23" t="s">
        <v>4</v>
      </c>
      <c r="C60" s="5" t="s">
        <v>22</v>
      </c>
      <c r="D60" s="5" t="s">
        <v>56</v>
      </c>
      <c r="E60" s="5" t="s">
        <v>57</v>
      </c>
      <c r="F60" s="23" t="s">
        <v>16</v>
      </c>
      <c r="G60" s="24">
        <v>2.65</v>
      </c>
      <c r="H60" s="25">
        <v>416</v>
      </c>
      <c r="I60" s="8">
        <v>19</v>
      </c>
      <c r="J60" s="35">
        <v>7904</v>
      </c>
      <c r="K60" s="35">
        <f t="shared" si="20"/>
        <v>20945.599999999999</v>
      </c>
      <c r="L60" s="35">
        <f t="shared" si="4"/>
        <v>21325.599999999999</v>
      </c>
      <c r="M60" s="26">
        <v>393</v>
      </c>
      <c r="N60" s="50">
        <f t="shared" si="21"/>
        <v>3106.2719999999999</v>
      </c>
      <c r="O60" s="113">
        <f t="shared" si="5"/>
        <v>0</v>
      </c>
      <c r="P60" s="113">
        <f t="shared" si="6"/>
        <v>0</v>
      </c>
      <c r="Q60" s="114">
        <f t="shared" si="7"/>
        <v>0</v>
      </c>
      <c r="R60" s="123">
        <f t="shared" si="32"/>
        <v>0.19724150943396229</v>
      </c>
      <c r="S60" s="124">
        <v>0.17</v>
      </c>
      <c r="T60" s="124"/>
      <c r="U60" s="125">
        <f t="shared" si="36"/>
        <v>3106.2719999999999</v>
      </c>
      <c r="V60" s="126">
        <f t="shared" si="9"/>
        <v>1373</v>
      </c>
      <c r="W60" s="115">
        <f t="shared" si="33"/>
        <v>12.863390789812195</v>
      </c>
      <c r="X60" s="123">
        <f t="shared" si="0"/>
        <v>621.25440000000003</v>
      </c>
      <c r="Y60" s="123">
        <f t="shared" si="1"/>
        <v>670.95475199999998</v>
      </c>
      <c r="Z60" s="127">
        <f t="shared" si="34"/>
        <v>231.54103421661952</v>
      </c>
      <c r="AA60" s="128">
        <f t="shared" si="12"/>
        <v>41.67738615899151</v>
      </c>
      <c r="AB60" s="128">
        <f t="shared" si="13"/>
        <v>712.63213815899144</v>
      </c>
      <c r="AC60" s="123">
        <f t="shared" si="2"/>
        <v>5344.9308250064314</v>
      </c>
      <c r="AD60" s="129">
        <f t="shared" si="14"/>
        <v>106.89861650012863</v>
      </c>
      <c r="AE60" s="129">
        <f t="shared" si="22"/>
        <v>5451.8294415065602</v>
      </c>
      <c r="AF60" s="129">
        <f t="shared" si="15"/>
        <v>981.32929947118078</v>
      </c>
      <c r="AG60" s="129">
        <f t="shared" si="16"/>
        <v>6433.1587409777412</v>
      </c>
      <c r="AH60" s="130">
        <f t="shared" si="35"/>
        <v>0.81391178403058462</v>
      </c>
      <c r="AI60" s="130">
        <f t="shared" si="18"/>
        <v>31.636751045268824</v>
      </c>
      <c r="AJ60" s="128">
        <f t="shared" si="3"/>
        <v>3326.8867409777413</v>
      </c>
      <c r="AK60" s="122">
        <f t="shared" si="19"/>
        <v>268.69716131218928</v>
      </c>
    </row>
    <row r="61" spans="1:37" x14ac:dyDescent="0.2">
      <c r="A61" s="22" t="s">
        <v>116</v>
      </c>
      <c r="B61" s="23" t="s">
        <v>4</v>
      </c>
      <c r="C61" s="5" t="s">
        <v>23</v>
      </c>
      <c r="D61" s="5" t="s">
        <v>56</v>
      </c>
      <c r="E61" s="5" t="s">
        <v>57</v>
      </c>
      <c r="F61" s="23" t="s">
        <v>16</v>
      </c>
      <c r="G61" s="24">
        <v>2.65</v>
      </c>
      <c r="H61" s="25">
        <v>416</v>
      </c>
      <c r="I61" s="8">
        <v>19</v>
      </c>
      <c r="J61" s="35">
        <v>7904</v>
      </c>
      <c r="K61" s="35">
        <f t="shared" si="20"/>
        <v>20945.599999999999</v>
      </c>
      <c r="L61" s="35">
        <f t="shared" si="4"/>
        <v>21325.599999999999</v>
      </c>
      <c r="M61" s="26">
        <v>393</v>
      </c>
      <c r="N61" s="50">
        <f t="shared" si="21"/>
        <v>3106.2719999999999</v>
      </c>
      <c r="O61" s="113">
        <f t="shared" si="5"/>
        <v>0</v>
      </c>
      <c r="P61" s="113">
        <f t="shared" si="6"/>
        <v>0</v>
      </c>
      <c r="Q61" s="114">
        <f t="shared" si="7"/>
        <v>0</v>
      </c>
      <c r="R61" s="123">
        <f t="shared" si="32"/>
        <v>0.19724150943396229</v>
      </c>
      <c r="S61" s="124">
        <v>0.17</v>
      </c>
      <c r="T61" s="124"/>
      <c r="U61" s="125">
        <f t="shared" si="36"/>
        <v>3106.2719999999999</v>
      </c>
      <c r="V61" s="126">
        <f t="shared" si="9"/>
        <v>1373</v>
      </c>
      <c r="W61" s="115">
        <f t="shared" si="33"/>
        <v>12.863390789812195</v>
      </c>
      <c r="X61" s="123">
        <f t="shared" si="0"/>
        <v>621.25440000000003</v>
      </c>
      <c r="Y61" s="123">
        <f t="shared" si="1"/>
        <v>670.95475199999998</v>
      </c>
      <c r="Z61" s="127">
        <f t="shared" si="34"/>
        <v>231.54103421661952</v>
      </c>
      <c r="AA61" s="128">
        <f t="shared" si="12"/>
        <v>41.67738615899151</v>
      </c>
      <c r="AB61" s="128">
        <f t="shared" si="13"/>
        <v>712.63213815899144</v>
      </c>
      <c r="AC61" s="123">
        <f t="shared" si="2"/>
        <v>5344.9308250064314</v>
      </c>
      <c r="AD61" s="129">
        <f t="shared" si="14"/>
        <v>106.89861650012863</v>
      </c>
      <c r="AE61" s="129">
        <f t="shared" si="22"/>
        <v>5451.8294415065602</v>
      </c>
      <c r="AF61" s="129">
        <f t="shared" si="15"/>
        <v>981.32929947118078</v>
      </c>
      <c r="AG61" s="129">
        <f t="shared" si="16"/>
        <v>6433.1587409777412</v>
      </c>
      <c r="AH61" s="130">
        <f t="shared" si="35"/>
        <v>0.81391178403058462</v>
      </c>
      <c r="AI61" s="130">
        <f t="shared" si="18"/>
        <v>31.636751045268824</v>
      </c>
      <c r="AJ61" s="128">
        <f t="shared" si="3"/>
        <v>3326.8867409777413</v>
      </c>
      <c r="AK61" s="122">
        <f t="shared" si="19"/>
        <v>268.69716131218928</v>
      </c>
    </row>
    <row r="62" spans="1:37" x14ac:dyDescent="0.2">
      <c r="A62" s="22" t="s">
        <v>117</v>
      </c>
      <c r="B62" s="23" t="s">
        <v>4</v>
      </c>
      <c r="C62" s="5" t="s">
        <v>24</v>
      </c>
      <c r="D62" s="5" t="s">
        <v>56</v>
      </c>
      <c r="E62" s="5" t="s">
        <v>57</v>
      </c>
      <c r="F62" s="23" t="s">
        <v>16</v>
      </c>
      <c r="G62" s="24">
        <v>3</v>
      </c>
      <c r="H62" s="25">
        <v>420</v>
      </c>
      <c r="I62" s="8">
        <v>17</v>
      </c>
      <c r="J62" s="35">
        <v>7140</v>
      </c>
      <c r="K62" s="35">
        <f t="shared" si="20"/>
        <v>21420</v>
      </c>
      <c r="L62" s="35">
        <f t="shared" si="4"/>
        <v>21760</v>
      </c>
      <c r="M62" s="26">
        <v>393</v>
      </c>
      <c r="N62" s="50">
        <f t="shared" si="21"/>
        <v>2806.02</v>
      </c>
      <c r="O62" s="113">
        <f t="shared" si="5"/>
        <v>0</v>
      </c>
      <c r="P62" s="113">
        <f t="shared" si="6"/>
        <v>0</v>
      </c>
      <c r="Q62" s="114">
        <f t="shared" si="7"/>
        <v>0</v>
      </c>
      <c r="R62" s="123">
        <f t="shared" si="32"/>
        <v>0.17423000000000002</v>
      </c>
      <c r="S62" s="124">
        <v>0.17</v>
      </c>
      <c r="T62" s="124"/>
      <c r="U62" s="125">
        <f t="shared" si="36"/>
        <v>2806.02</v>
      </c>
      <c r="V62" s="126">
        <f t="shared" si="9"/>
        <v>1373</v>
      </c>
      <c r="W62" s="115">
        <f t="shared" si="33"/>
        <v>12.863390789812195</v>
      </c>
      <c r="X62" s="123">
        <f t="shared" si="0"/>
        <v>561.20400000000006</v>
      </c>
      <c r="Y62" s="123">
        <f t="shared" si="1"/>
        <v>606.10032000000001</v>
      </c>
      <c r="Z62" s="127">
        <f t="shared" si="34"/>
        <v>231.54103421661952</v>
      </c>
      <c r="AA62" s="128">
        <f t="shared" si="12"/>
        <v>41.67738615899151</v>
      </c>
      <c r="AB62" s="128">
        <f t="shared" si="13"/>
        <v>647.77770615899158</v>
      </c>
      <c r="AC62" s="123">
        <f t="shared" si="2"/>
        <v>4984.6284250064318</v>
      </c>
      <c r="AD62" s="129">
        <f t="shared" si="14"/>
        <v>99.692568500128644</v>
      </c>
      <c r="AE62" s="129">
        <f t="shared" si="22"/>
        <v>5084.3209935065606</v>
      </c>
      <c r="AF62" s="129">
        <f t="shared" si="15"/>
        <v>915.17777883118083</v>
      </c>
      <c r="AG62" s="129">
        <f t="shared" si="16"/>
        <v>5999.4987723377417</v>
      </c>
      <c r="AH62" s="130">
        <f t="shared" si="35"/>
        <v>0.84026593450108422</v>
      </c>
      <c r="AI62" s="130">
        <f t="shared" si="18"/>
        <v>32.661136874057142</v>
      </c>
      <c r="AJ62" s="128">
        <f t="shared" si="3"/>
        <v>3193.4787723377417</v>
      </c>
      <c r="AK62" s="122">
        <f t="shared" si="19"/>
        <v>267.40007267218931</v>
      </c>
    </row>
    <row r="63" spans="1:37" x14ac:dyDescent="0.2">
      <c r="A63" s="22" t="s">
        <v>118</v>
      </c>
      <c r="B63" s="23" t="s">
        <v>4</v>
      </c>
      <c r="C63" s="5" t="s">
        <v>25</v>
      </c>
      <c r="D63" s="5" t="s">
        <v>56</v>
      </c>
      <c r="E63" s="5" t="s">
        <v>57</v>
      </c>
      <c r="F63" s="23" t="s">
        <v>16</v>
      </c>
      <c r="G63" s="24">
        <v>2.95</v>
      </c>
      <c r="H63" s="25">
        <v>420</v>
      </c>
      <c r="I63" s="8">
        <v>17</v>
      </c>
      <c r="J63" s="35">
        <v>7140</v>
      </c>
      <c r="K63" s="35">
        <f t="shared" si="20"/>
        <v>21063</v>
      </c>
      <c r="L63" s="35">
        <f t="shared" si="4"/>
        <v>21403</v>
      </c>
      <c r="M63" s="26">
        <v>393</v>
      </c>
      <c r="N63" s="50">
        <f t="shared" si="21"/>
        <v>2806.02</v>
      </c>
      <c r="O63" s="113">
        <f t="shared" si="5"/>
        <v>0</v>
      </c>
      <c r="P63" s="113">
        <f t="shared" si="6"/>
        <v>0</v>
      </c>
      <c r="Q63" s="114">
        <f t="shared" si="7"/>
        <v>0</v>
      </c>
      <c r="R63" s="123">
        <f t="shared" si="32"/>
        <v>0.17718305084745764</v>
      </c>
      <c r="S63" s="124">
        <v>0.17</v>
      </c>
      <c r="T63" s="124"/>
      <c r="U63" s="125">
        <f t="shared" si="36"/>
        <v>2806.02</v>
      </c>
      <c r="V63" s="126">
        <f t="shared" si="9"/>
        <v>1373</v>
      </c>
      <c r="W63" s="115">
        <f t="shared" si="33"/>
        <v>12.863390789812195</v>
      </c>
      <c r="X63" s="123">
        <f t="shared" si="0"/>
        <v>561.20400000000006</v>
      </c>
      <c r="Y63" s="123">
        <f t="shared" si="1"/>
        <v>606.10032000000001</v>
      </c>
      <c r="Z63" s="127">
        <f t="shared" si="34"/>
        <v>231.54103421661952</v>
      </c>
      <c r="AA63" s="128">
        <f t="shared" si="12"/>
        <v>41.67738615899151</v>
      </c>
      <c r="AB63" s="128">
        <f t="shared" si="13"/>
        <v>647.77770615899158</v>
      </c>
      <c r="AC63" s="123">
        <f t="shared" si="2"/>
        <v>4984.6284250064318</v>
      </c>
      <c r="AD63" s="129">
        <f t="shared" si="14"/>
        <v>99.692568500128644</v>
      </c>
      <c r="AE63" s="129">
        <f t="shared" si="22"/>
        <v>5084.3209935065606</v>
      </c>
      <c r="AF63" s="129">
        <f t="shared" si="15"/>
        <v>915.17777883118083</v>
      </c>
      <c r="AG63" s="129">
        <f t="shared" si="16"/>
        <v>5999.4987723377417</v>
      </c>
      <c r="AH63" s="130">
        <f t="shared" si="35"/>
        <v>0.84026593450108422</v>
      </c>
      <c r="AI63" s="130">
        <f t="shared" si="18"/>
        <v>32.661136874057142</v>
      </c>
      <c r="AJ63" s="128">
        <f t="shared" si="3"/>
        <v>3193.4787723377417</v>
      </c>
      <c r="AK63" s="122">
        <f t="shared" si="19"/>
        <v>267.40007267218931</v>
      </c>
    </row>
    <row r="64" spans="1:37" x14ac:dyDescent="0.2">
      <c r="A64" s="22" t="s">
        <v>119</v>
      </c>
      <c r="B64" s="23" t="s">
        <v>4</v>
      </c>
      <c r="C64" s="193" t="s">
        <v>26</v>
      </c>
      <c r="D64" s="5" t="s">
        <v>56</v>
      </c>
      <c r="E64" s="5" t="s">
        <v>57</v>
      </c>
      <c r="F64" s="23" t="s">
        <v>16</v>
      </c>
      <c r="G64" s="24">
        <v>2.95</v>
      </c>
      <c r="H64" s="25">
        <v>420</v>
      </c>
      <c r="I64" s="8">
        <v>17</v>
      </c>
      <c r="J64" s="35">
        <v>7140</v>
      </c>
      <c r="K64" s="35">
        <f t="shared" si="20"/>
        <v>21063</v>
      </c>
      <c r="L64" s="35">
        <f t="shared" si="4"/>
        <v>21403</v>
      </c>
      <c r="M64" s="26">
        <v>393</v>
      </c>
      <c r="N64" s="50">
        <f t="shared" si="21"/>
        <v>2806.02</v>
      </c>
      <c r="O64" s="113">
        <f t="shared" si="5"/>
        <v>0</v>
      </c>
      <c r="P64" s="113">
        <f t="shared" si="6"/>
        <v>0</v>
      </c>
      <c r="Q64" s="114">
        <f t="shared" si="7"/>
        <v>0</v>
      </c>
      <c r="R64" s="123">
        <f t="shared" si="32"/>
        <v>0.17718305084745764</v>
      </c>
      <c r="S64" s="124">
        <v>0.17</v>
      </c>
      <c r="T64" s="124"/>
      <c r="U64" s="125">
        <f t="shared" si="36"/>
        <v>2806.02</v>
      </c>
      <c r="V64" s="126">
        <f t="shared" si="9"/>
        <v>1373</v>
      </c>
      <c r="W64" s="115">
        <f t="shared" si="33"/>
        <v>12.863390789812195</v>
      </c>
      <c r="X64" s="123">
        <f t="shared" si="0"/>
        <v>561.20400000000006</v>
      </c>
      <c r="Y64" s="123">
        <f t="shared" si="1"/>
        <v>606.10032000000001</v>
      </c>
      <c r="Z64" s="127">
        <f t="shared" si="34"/>
        <v>231.54103421661952</v>
      </c>
      <c r="AA64" s="128">
        <f t="shared" si="12"/>
        <v>41.67738615899151</v>
      </c>
      <c r="AB64" s="128">
        <f t="shared" si="13"/>
        <v>647.77770615899158</v>
      </c>
      <c r="AC64" s="123">
        <f t="shared" si="2"/>
        <v>4984.6284250064318</v>
      </c>
      <c r="AD64" s="129">
        <f t="shared" si="14"/>
        <v>99.692568500128644</v>
      </c>
      <c r="AE64" s="129">
        <f t="shared" si="22"/>
        <v>5084.3209935065606</v>
      </c>
      <c r="AF64" s="129">
        <f t="shared" si="15"/>
        <v>915.17777883118083</v>
      </c>
      <c r="AG64" s="129">
        <f t="shared" si="16"/>
        <v>5999.4987723377417</v>
      </c>
      <c r="AH64" s="130">
        <f t="shared" si="35"/>
        <v>0.84026593450108422</v>
      </c>
      <c r="AI64" s="130">
        <f t="shared" si="18"/>
        <v>32.661136874057142</v>
      </c>
      <c r="AJ64" s="128">
        <f t="shared" si="3"/>
        <v>3193.4787723377417</v>
      </c>
      <c r="AK64" s="122">
        <f t="shared" si="19"/>
        <v>267.40007267218931</v>
      </c>
    </row>
    <row r="65" spans="1:37" x14ac:dyDescent="0.2">
      <c r="A65" s="22" t="s">
        <v>120</v>
      </c>
      <c r="B65" s="23" t="s">
        <v>4</v>
      </c>
      <c r="C65" s="5" t="s">
        <v>27</v>
      </c>
      <c r="D65" s="5" t="s">
        <v>56</v>
      </c>
      <c r="E65" s="5" t="s">
        <v>57</v>
      </c>
      <c r="F65" s="23" t="s">
        <v>16</v>
      </c>
      <c r="G65" s="24">
        <v>2.65</v>
      </c>
      <c r="H65" s="25">
        <v>416</v>
      </c>
      <c r="I65" s="8">
        <v>19</v>
      </c>
      <c r="J65" s="35">
        <v>7904</v>
      </c>
      <c r="K65" s="35">
        <f t="shared" si="20"/>
        <v>20945.599999999999</v>
      </c>
      <c r="L65" s="35">
        <f t="shared" si="4"/>
        <v>21325.599999999999</v>
      </c>
      <c r="M65" s="26">
        <v>393</v>
      </c>
      <c r="N65" s="50">
        <f t="shared" si="21"/>
        <v>3106.2719999999999</v>
      </c>
      <c r="O65" s="113">
        <f t="shared" si="5"/>
        <v>0</v>
      </c>
      <c r="P65" s="113">
        <f t="shared" si="6"/>
        <v>0</v>
      </c>
      <c r="Q65" s="114">
        <f t="shared" si="7"/>
        <v>0</v>
      </c>
      <c r="R65" s="123">
        <f t="shared" si="32"/>
        <v>0.19724150943396229</v>
      </c>
      <c r="S65" s="124">
        <v>0.17</v>
      </c>
      <c r="T65" s="124"/>
      <c r="U65" s="125">
        <f t="shared" si="36"/>
        <v>3106.2719999999999</v>
      </c>
      <c r="V65" s="126">
        <f t="shared" si="9"/>
        <v>1373</v>
      </c>
      <c r="W65" s="115">
        <f t="shared" si="33"/>
        <v>12.863390789812195</v>
      </c>
      <c r="X65" s="123">
        <f t="shared" si="0"/>
        <v>621.25440000000003</v>
      </c>
      <c r="Y65" s="123">
        <f t="shared" si="1"/>
        <v>670.95475199999998</v>
      </c>
      <c r="Z65" s="127">
        <f t="shared" si="34"/>
        <v>231.54103421661952</v>
      </c>
      <c r="AA65" s="128">
        <f t="shared" si="12"/>
        <v>41.67738615899151</v>
      </c>
      <c r="AB65" s="128">
        <f t="shared" si="13"/>
        <v>712.63213815899144</v>
      </c>
      <c r="AC65" s="123">
        <f t="shared" si="2"/>
        <v>5344.9308250064314</v>
      </c>
      <c r="AD65" s="129">
        <f t="shared" si="14"/>
        <v>106.89861650012863</v>
      </c>
      <c r="AE65" s="129">
        <f t="shared" si="22"/>
        <v>5451.8294415065602</v>
      </c>
      <c r="AF65" s="129">
        <f t="shared" si="15"/>
        <v>981.32929947118078</v>
      </c>
      <c r="AG65" s="129">
        <f t="shared" si="16"/>
        <v>6433.1587409777412</v>
      </c>
      <c r="AH65" s="130">
        <f t="shared" si="35"/>
        <v>0.81391178403058462</v>
      </c>
      <c r="AI65" s="130">
        <f t="shared" si="18"/>
        <v>31.636751045268824</v>
      </c>
      <c r="AJ65" s="128">
        <f t="shared" si="3"/>
        <v>3326.8867409777413</v>
      </c>
      <c r="AK65" s="122">
        <f t="shared" si="19"/>
        <v>268.69716131218928</v>
      </c>
    </row>
    <row r="66" spans="1:37" x14ac:dyDescent="0.2">
      <c r="A66" s="189"/>
      <c r="B66" s="190"/>
      <c r="C66" s="191"/>
      <c r="D66" s="191"/>
      <c r="E66" s="191"/>
      <c r="F66" s="190"/>
      <c r="G66" s="145"/>
      <c r="H66" s="146"/>
      <c r="I66" s="147"/>
      <c r="J66" s="148"/>
      <c r="K66" s="149"/>
      <c r="L66" s="149"/>
      <c r="M66" s="188"/>
      <c r="N66" s="151"/>
      <c r="O66" s="152"/>
      <c r="P66" s="152"/>
      <c r="Q66" s="153"/>
      <c r="R66" s="154"/>
      <c r="S66" s="155"/>
      <c r="T66" s="155"/>
      <c r="U66" s="156"/>
      <c r="V66" s="157"/>
      <c r="W66" s="154"/>
      <c r="X66" s="123">
        <f t="shared" si="0"/>
        <v>0</v>
      </c>
      <c r="Y66" s="123">
        <f t="shared" si="1"/>
        <v>0</v>
      </c>
      <c r="Z66" s="158"/>
      <c r="AA66" s="159"/>
      <c r="AB66" s="159"/>
      <c r="AC66" s="123">
        <f t="shared" si="2"/>
        <v>0</v>
      </c>
      <c r="AD66" s="154"/>
      <c r="AE66" s="154"/>
      <c r="AF66" s="154"/>
      <c r="AG66" s="154"/>
      <c r="AH66" s="160"/>
      <c r="AI66" s="160"/>
      <c r="AJ66" s="128">
        <f t="shared" si="3"/>
        <v>0</v>
      </c>
      <c r="AK66" s="161"/>
    </row>
    <row r="67" spans="1:37" x14ac:dyDescent="0.2">
      <c r="A67" s="22" t="s">
        <v>121</v>
      </c>
      <c r="B67" s="23" t="s">
        <v>28</v>
      </c>
      <c r="C67" s="5" t="s">
        <v>70</v>
      </c>
      <c r="D67" s="5" t="s">
        <v>56</v>
      </c>
      <c r="E67" s="5" t="s">
        <v>57</v>
      </c>
      <c r="F67" s="23" t="s">
        <v>29</v>
      </c>
      <c r="G67" s="24">
        <v>4</v>
      </c>
      <c r="H67" s="25">
        <v>270</v>
      </c>
      <c r="I67" s="8">
        <v>20</v>
      </c>
      <c r="J67" s="35">
        <v>5400</v>
      </c>
      <c r="K67" s="35">
        <f t="shared" ref="K67:K103" si="37">G67*J67</f>
        <v>21600</v>
      </c>
      <c r="L67" s="35">
        <f t="shared" ref="L67:L103" si="38">K67+I67*20</f>
        <v>22000</v>
      </c>
      <c r="M67" s="26">
        <v>602</v>
      </c>
      <c r="N67" s="50">
        <f t="shared" ref="N67:N97" si="39">J67*M67/1000</f>
        <v>3250.8</v>
      </c>
      <c r="O67" s="113">
        <f t="shared" ref="O67:O97" si="40">$O$7</f>
        <v>0</v>
      </c>
      <c r="P67" s="113">
        <f t="shared" ref="P67:P97" si="41">$P$7</f>
        <v>0</v>
      </c>
      <c r="Q67" s="114">
        <f t="shared" ref="Q67:Q97" si="42">O67+P67</f>
        <v>0</v>
      </c>
      <c r="R67" s="123">
        <f>N67/K67*$N$1</f>
        <v>0.20016500000000001</v>
      </c>
      <c r="S67" s="124">
        <v>0.17</v>
      </c>
      <c r="T67" s="124"/>
      <c r="U67" s="125">
        <f t="shared" si="36"/>
        <v>3250.8</v>
      </c>
      <c r="V67" s="126">
        <f t="shared" ref="V67:V105" si="43">$V$7</f>
        <v>1373</v>
      </c>
      <c r="W67" s="115">
        <f>$W$7/N$2</f>
        <v>12.863390789812195</v>
      </c>
      <c r="X67" s="123">
        <f t="shared" ref="X67:X97" si="44">U67*0.2</f>
        <v>650.16000000000008</v>
      </c>
      <c r="Y67" s="123">
        <f t="shared" ref="Y67:Y97" si="45">(U67+X67)*0.18</f>
        <v>702.17279999999994</v>
      </c>
      <c r="Z67" s="127">
        <f>$Z$7/$N$2</f>
        <v>231.54103421661952</v>
      </c>
      <c r="AA67" s="128">
        <f t="shared" ref="AA67:AA105" si="46">Z67*0.18</f>
        <v>41.67738615899151</v>
      </c>
      <c r="AB67" s="128">
        <f t="shared" ref="AB67:AB105" si="47">Y67+AA67</f>
        <v>743.85018615899139</v>
      </c>
      <c r="AC67" s="123">
        <f t="shared" ref="AC67:AC97" si="48">N67+V67+W67+X67+Z67</f>
        <v>5518.3644250064317</v>
      </c>
      <c r="AD67" s="129">
        <f t="shared" ref="AD67:AD105" si="49">AC67*$AD$7</f>
        <v>110.36728850012864</v>
      </c>
      <c r="AE67" s="129">
        <f t="shared" ref="AE67:AE105" si="50">AC67+AD67</f>
        <v>5628.7317135065605</v>
      </c>
      <c r="AF67" s="129">
        <f t="shared" ref="AF67:AF105" si="51">AE67*0.18</f>
        <v>1013.1717084311808</v>
      </c>
      <c r="AG67" s="129">
        <f t="shared" ref="AG67:AG105" si="52">AE67+AF67</f>
        <v>6641.9034219377409</v>
      </c>
      <c r="AH67" s="130">
        <f>AG67/J67</f>
        <v>1.2299821151736556</v>
      </c>
      <c r="AI67" s="130">
        <f t="shared" ref="AI67:AI97" si="53">AH67*$N$2</f>
        <v>47.80940481679999</v>
      </c>
      <c r="AJ67" s="128">
        <f t="shared" ref="AJ67:AJ97" si="54">AG67-N67</f>
        <v>3391.1034219377407</v>
      </c>
      <c r="AK67" s="122">
        <f t="shared" ref="AK67:AK105" si="55">AF67-Y67-AA67</f>
        <v>269.32152227218938</v>
      </c>
    </row>
    <row r="68" spans="1:37" x14ac:dyDescent="0.2">
      <c r="A68" s="22" t="s">
        <v>122</v>
      </c>
      <c r="B68" s="23" t="s">
        <v>30</v>
      </c>
      <c r="C68" s="5" t="s">
        <v>71</v>
      </c>
      <c r="D68" s="5" t="s">
        <v>56</v>
      </c>
      <c r="E68" s="5" t="s">
        <v>57</v>
      </c>
      <c r="F68" s="23" t="s">
        <v>29</v>
      </c>
      <c r="G68" s="24">
        <v>4</v>
      </c>
      <c r="H68" s="25">
        <v>364</v>
      </c>
      <c r="I68" s="8">
        <v>14</v>
      </c>
      <c r="J68" s="35">
        <v>5096</v>
      </c>
      <c r="K68" s="35">
        <f t="shared" si="37"/>
        <v>20384</v>
      </c>
      <c r="L68" s="35">
        <f t="shared" si="38"/>
        <v>20664</v>
      </c>
      <c r="M68" s="26">
        <v>602</v>
      </c>
      <c r="N68" s="50">
        <f t="shared" si="39"/>
        <v>3067.7919999999999</v>
      </c>
      <c r="O68" s="113">
        <f t="shared" si="40"/>
        <v>0</v>
      </c>
      <c r="P68" s="113">
        <f t="shared" si="41"/>
        <v>0</v>
      </c>
      <c r="Q68" s="114">
        <f t="shared" si="42"/>
        <v>0</v>
      </c>
      <c r="R68" s="123">
        <f>N68/K68*$N$1</f>
        <v>0.20016500000000001</v>
      </c>
      <c r="S68" s="124">
        <v>0.17</v>
      </c>
      <c r="T68" s="124"/>
      <c r="U68" s="125">
        <f t="shared" si="36"/>
        <v>3067.7919999999999</v>
      </c>
      <c r="V68" s="126">
        <f t="shared" si="43"/>
        <v>1373</v>
      </c>
      <c r="W68" s="115">
        <f>$W$7/N$2</f>
        <v>12.863390789812195</v>
      </c>
      <c r="X68" s="123">
        <f t="shared" si="44"/>
        <v>613.55840000000001</v>
      </c>
      <c r="Y68" s="123">
        <f t="shared" si="45"/>
        <v>662.64307199999996</v>
      </c>
      <c r="Z68" s="127">
        <f>$Z$7/$N$2</f>
        <v>231.54103421661952</v>
      </c>
      <c r="AA68" s="128">
        <f t="shared" si="46"/>
        <v>41.67738615899151</v>
      </c>
      <c r="AB68" s="128">
        <f t="shared" si="47"/>
        <v>704.32045815899141</v>
      </c>
      <c r="AC68" s="123">
        <f t="shared" si="48"/>
        <v>5298.754825006431</v>
      </c>
      <c r="AD68" s="129">
        <f t="shared" si="49"/>
        <v>105.97509650012863</v>
      </c>
      <c r="AE68" s="129">
        <f t="shared" si="50"/>
        <v>5404.7299215065595</v>
      </c>
      <c r="AF68" s="129">
        <f t="shared" si="51"/>
        <v>972.8513858711807</v>
      </c>
      <c r="AG68" s="129">
        <f t="shared" si="52"/>
        <v>6377.5813073777399</v>
      </c>
      <c r="AH68" s="130">
        <f>AG68/J68</f>
        <v>1.2514876976800902</v>
      </c>
      <c r="AI68" s="130">
        <f t="shared" si="53"/>
        <v>48.645326808825104</v>
      </c>
      <c r="AJ68" s="128">
        <f t="shared" si="54"/>
        <v>3309.78930737774</v>
      </c>
      <c r="AK68" s="122">
        <f t="shared" si="55"/>
        <v>268.53092771218923</v>
      </c>
    </row>
    <row r="69" spans="1:37" x14ac:dyDescent="0.2">
      <c r="A69" s="142"/>
      <c r="B69" s="143"/>
      <c r="C69" s="144"/>
      <c r="D69" s="144"/>
      <c r="E69" s="144"/>
      <c r="F69" s="143"/>
      <c r="G69" s="145"/>
      <c r="H69" s="146"/>
      <c r="I69" s="147"/>
      <c r="J69" s="148"/>
      <c r="K69" s="149"/>
      <c r="L69" s="149"/>
      <c r="M69" s="150"/>
      <c r="N69" s="151"/>
      <c r="O69" s="152"/>
      <c r="P69" s="152"/>
      <c r="Q69" s="153"/>
      <c r="R69" s="154"/>
      <c r="S69" s="155"/>
      <c r="T69" s="155"/>
      <c r="U69" s="156"/>
      <c r="V69" s="157"/>
      <c r="W69" s="154"/>
      <c r="X69" s="123">
        <f t="shared" si="44"/>
        <v>0</v>
      </c>
      <c r="Y69" s="123">
        <f t="shared" si="45"/>
        <v>0</v>
      </c>
      <c r="Z69" s="158"/>
      <c r="AA69" s="159"/>
      <c r="AB69" s="159"/>
      <c r="AC69" s="123">
        <f t="shared" si="48"/>
        <v>0</v>
      </c>
      <c r="AD69" s="154"/>
      <c r="AE69" s="154"/>
      <c r="AF69" s="154"/>
      <c r="AG69" s="154"/>
      <c r="AH69" s="160"/>
      <c r="AI69" s="160"/>
      <c r="AJ69" s="128">
        <f t="shared" si="54"/>
        <v>0</v>
      </c>
      <c r="AK69" s="161"/>
    </row>
    <row r="70" spans="1:37" ht="15" x14ac:dyDescent="0.25">
      <c r="A70" s="179" t="s">
        <v>53</v>
      </c>
      <c r="B70" s="180"/>
      <c r="C70" s="181"/>
      <c r="D70" s="181"/>
      <c r="E70" s="181"/>
      <c r="F70" s="180"/>
      <c r="G70" s="182"/>
      <c r="H70" s="183"/>
      <c r="I70" s="184"/>
      <c r="J70" s="185"/>
      <c r="K70" s="186"/>
      <c r="L70" s="186"/>
      <c r="M70" s="187"/>
      <c r="N70" s="131"/>
      <c r="O70" s="132"/>
      <c r="P70" s="132"/>
      <c r="Q70" s="133"/>
      <c r="R70" s="134"/>
      <c r="S70" s="135"/>
      <c r="T70" s="135"/>
      <c r="U70" s="136"/>
      <c r="V70" s="137"/>
      <c r="W70" s="134"/>
      <c r="X70" s="123">
        <f t="shared" si="44"/>
        <v>0</v>
      </c>
      <c r="Y70" s="123">
        <f t="shared" si="45"/>
        <v>0</v>
      </c>
      <c r="Z70" s="138"/>
      <c r="AA70" s="139"/>
      <c r="AB70" s="139"/>
      <c r="AC70" s="123">
        <f t="shared" si="48"/>
        <v>0</v>
      </c>
      <c r="AD70" s="134"/>
      <c r="AE70" s="134"/>
      <c r="AF70" s="134"/>
      <c r="AG70" s="134"/>
      <c r="AH70" s="140"/>
      <c r="AI70" s="160"/>
      <c r="AJ70" s="128">
        <f t="shared" si="54"/>
        <v>0</v>
      </c>
      <c r="AK70" s="141"/>
    </row>
    <row r="71" spans="1:37" x14ac:dyDescent="0.2">
      <c r="A71" s="38" t="s">
        <v>123</v>
      </c>
      <c r="B71" s="39" t="s">
        <v>4</v>
      </c>
      <c r="C71" s="40" t="s">
        <v>1</v>
      </c>
      <c r="D71" s="40" t="s">
        <v>56</v>
      </c>
      <c r="E71" s="40" t="s">
        <v>57</v>
      </c>
      <c r="F71" s="39" t="s">
        <v>31</v>
      </c>
      <c r="G71" s="41">
        <v>4.2</v>
      </c>
      <c r="H71" s="42">
        <v>344</v>
      </c>
      <c r="I71" s="43">
        <v>15</v>
      </c>
      <c r="J71" s="44">
        <v>5160</v>
      </c>
      <c r="K71" s="44">
        <f t="shared" si="37"/>
        <v>21672</v>
      </c>
      <c r="L71" s="44">
        <f t="shared" si="38"/>
        <v>21972</v>
      </c>
      <c r="M71" s="45">
        <v>318</v>
      </c>
      <c r="N71" s="168">
        <f t="shared" si="39"/>
        <v>1640.88</v>
      </c>
      <c r="O71" s="169">
        <f t="shared" si="40"/>
        <v>0</v>
      </c>
      <c r="P71" s="169">
        <f t="shared" si="41"/>
        <v>0</v>
      </c>
      <c r="Q71" s="170">
        <f t="shared" si="42"/>
        <v>0</v>
      </c>
      <c r="R71" s="171">
        <f>N71/K71*$N$1</f>
        <v>0.10070000000000001</v>
      </c>
      <c r="S71" s="172">
        <v>0.16</v>
      </c>
      <c r="T71" s="172"/>
      <c r="U71" s="125">
        <f>S71*K71/$N$1</f>
        <v>2607.1578947368421</v>
      </c>
      <c r="V71" s="174">
        <f t="shared" si="43"/>
        <v>1373</v>
      </c>
      <c r="W71" s="171">
        <f>$W$7/N$2</f>
        <v>12.863390789812195</v>
      </c>
      <c r="X71" s="123">
        <f t="shared" si="44"/>
        <v>521.43157894736839</v>
      </c>
      <c r="Y71" s="123">
        <f t="shared" si="45"/>
        <v>563.14610526315789</v>
      </c>
      <c r="Z71" s="175">
        <f>$Z$7/$N$2</f>
        <v>231.54103421661952</v>
      </c>
      <c r="AA71" s="176">
        <f t="shared" si="46"/>
        <v>41.67738615899151</v>
      </c>
      <c r="AB71" s="176">
        <f t="shared" si="47"/>
        <v>604.82349142214935</v>
      </c>
      <c r="AC71" s="123">
        <f t="shared" si="48"/>
        <v>3779.7160039538003</v>
      </c>
      <c r="AD71" s="171">
        <f t="shared" si="49"/>
        <v>75.594320079076013</v>
      </c>
      <c r="AE71" s="171">
        <f t="shared" si="50"/>
        <v>3855.3103240328765</v>
      </c>
      <c r="AF71" s="171">
        <f t="shared" si="51"/>
        <v>693.95585832591769</v>
      </c>
      <c r="AG71" s="171">
        <f t="shared" si="52"/>
        <v>4549.2661823587941</v>
      </c>
      <c r="AH71" s="177">
        <f>AG71/J71</f>
        <v>0.88164073301527013</v>
      </c>
      <c r="AI71" s="177">
        <f t="shared" si="53"/>
        <v>34.26937529230355</v>
      </c>
      <c r="AJ71" s="128">
        <f t="shared" si="54"/>
        <v>2908.386182358794</v>
      </c>
      <c r="AK71" s="178">
        <f t="shared" si="55"/>
        <v>89.132366903768286</v>
      </c>
    </row>
    <row r="72" spans="1:37" x14ac:dyDescent="0.2">
      <c r="A72" s="38" t="s">
        <v>189</v>
      </c>
      <c r="B72" s="39" t="s">
        <v>181</v>
      </c>
      <c r="C72" s="40" t="s">
        <v>1</v>
      </c>
      <c r="D72" s="40" t="s">
        <v>56</v>
      </c>
      <c r="E72" s="40" t="s">
        <v>57</v>
      </c>
      <c r="F72" s="39" t="s">
        <v>31</v>
      </c>
      <c r="G72" s="41">
        <v>2.87</v>
      </c>
      <c r="H72" s="42">
        <v>420</v>
      </c>
      <c r="I72" s="43">
        <v>17</v>
      </c>
      <c r="J72" s="44">
        <v>7140</v>
      </c>
      <c r="K72" s="44">
        <f t="shared" si="37"/>
        <v>20491.8</v>
      </c>
      <c r="L72" s="44">
        <f t="shared" si="38"/>
        <v>20831.8</v>
      </c>
      <c r="M72" s="45">
        <v>310</v>
      </c>
      <c r="N72" s="168">
        <f t="shared" si="39"/>
        <v>2213.4</v>
      </c>
      <c r="O72" s="169">
        <f t="shared" si="40"/>
        <v>0</v>
      </c>
      <c r="P72" s="169">
        <f t="shared" si="41"/>
        <v>0</v>
      </c>
      <c r="Q72" s="170">
        <f t="shared" si="42"/>
        <v>0</v>
      </c>
      <c r="R72" s="171">
        <f>N72/K72*$N$1</f>
        <v>0.14365853658536587</v>
      </c>
      <c r="S72" s="172">
        <v>0.16</v>
      </c>
      <c r="T72" s="172"/>
      <c r="U72" s="125">
        <f>S72*K72/$N$1</f>
        <v>2465.1789473684212</v>
      </c>
      <c r="V72" s="174">
        <f t="shared" si="43"/>
        <v>1373</v>
      </c>
      <c r="W72" s="171">
        <f>$W$7/N$2</f>
        <v>12.863390789812195</v>
      </c>
      <c r="X72" s="123">
        <f t="shared" si="44"/>
        <v>493.03578947368425</v>
      </c>
      <c r="Y72" s="123">
        <f t="shared" si="45"/>
        <v>532.47865263157894</v>
      </c>
      <c r="Z72" s="175">
        <f>$Z$7/$N$2</f>
        <v>231.54103421661952</v>
      </c>
      <c r="AA72" s="176">
        <f t="shared" si="46"/>
        <v>41.67738615899151</v>
      </c>
      <c r="AB72" s="176">
        <f t="shared" si="47"/>
        <v>574.15603879057039</v>
      </c>
      <c r="AC72" s="123">
        <f t="shared" si="48"/>
        <v>4323.8402144801157</v>
      </c>
      <c r="AD72" s="171">
        <f t="shared" si="49"/>
        <v>86.476804289602313</v>
      </c>
      <c r="AE72" s="171">
        <f t="shared" si="50"/>
        <v>4410.3170187697178</v>
      </c>
      <c r="AF72" s="171">
        <f t="shared" si="51"/>
        <v>793.85706337854913</v>
      </c>
      <c r="AG72" s="171">
        <f t="shared" si="52"/>
        <v>5204.1740821482672</v>
      </c>
      <c r="AH72" s="177">
        <f>AG72/J72</f>
        <v>0.72887592186950523</v>
      </c>
      <c r="AI72" s="177">
        <f t="shared" si="53"/>
        <v>28.331407083067667</v>
      </c>
      <c r="AJ72" s="128">
        <f t="shared" si="54"/>
        <v>2990.7740821482671</v>
      </c>
      <c r="AK72" s="178">
        <f t="shared" si="55"/>
        <v>219.70102458797868</v>
      </c>
    </row>
    <row r="73" spans="1:37" x14ac:dyDescent="0.2">
      <c r="A73" s="22" t="s">
        <v>124</v>
      </c>
      <c r="B73" s="23" t="s">
        <v>4</v>
      </c>
      <c r="C73" s="5" t="s">
        <v>5</v>
      </c>
      <c r="D73" s="5" t="s">
        <v>59</v>
      </c>
      <c r="E73" s="5" t="s">
        <v>57</v>
      </c>
      <c r="F73" s="23" t="s">
        <v>31</v>
      </c>
      <c r="G73" s="24">
        <v>4.4000000000000004</v>
      </c>
      <c r="H73" s="25">
        <v>344</v>
      </c>
      <c r="I73" s="8">
        <v>14</v>
      </c>
      <c r="J73" s="35">
        <v>4816</v>
      </c>
      <c r="K73" s="35">
        <f t="shared" si="37"/>
        <v>21190.400000000001</v>
      </c>
      <c r="L73" s="35">
        <f t="shared" si="38"/>
        <v>21470.400000000001</v>
      </c>
      <c r="M73" s="26">
        <v>530</v>
      </c>
      <c r="N73" s="50">
        <f t="shared" si="39"/>
        <v>2552.48</v>
      </c>
      <c r="O73" s="113">
        <f t="shared" si="40"/>
        <v>0</v>
      </c>
      <c r="P73" s="113">
        <f t="shared" si="41"/>
        <v>0</v>
      </c>
      <c r="Q73" s="114">
        <f t="shared" si="42"/>
        <v>0</v>
      </c>
      <c r="R73" s="123">
        <f>N73/K73*$N$1</f>
        <v>0.16020454545454546</v>
      </c>
      <c r="S73" s="124">
        <v>0.16</v>
      </c>
      <c r="T73" s="124"/>
      <c r="U73" s="125">
        <f>N73</f>
        <v>2552.48</v>
      </c>
      <c r="V73" s="126">
        <f t="shared" si="43"/>
        <v>1373</v>
      </c>
      <c r="W73" s="115">
        <f>$W$7/N$2</f>
        <v>12.863390789812195</v>
      </c>
      <c r="X73" s="123">
        <f t="shared" si="44"/>
        <v>510.49600000000004</v>
      </c>
      <c r="Y73" s="123">
        <f t="shared" si="45"/>
        <v>551.33568000000002</v>
      </c>
      <c r="Z73" s="127">
        <f>$Z$7/$N$2</f>
        <v>231.54103421661952</v>
      </c>
      <c r="AA73" s="128">
        <f t="shared" si="46"/>
        <v>41.67738615899151</v>
      </c>
      <c r="AB73" s="128">
        <f t="shared" si="47"/>
        <v>593.01306615899148</v>
      </c>
      <c r="AC73" s="123">
        <f t="shared" si="48"/>
        <v>4680.3804250064313</v>
      </c>
      <c r="AD73" s="129">
        <f t="shared" si="49"/>
        <v>93.607608500128634</v>
      </c>
      <c r="AE73" s="129">
        <f t="shared" si="50"/>
        <v>4773.98803350656</v>
      </c>
      <c r="AF73" s="129">
        <f t="shared" si="51"/>
        <v>859.31784603118081</v>
      </c>
      <c r="AG73" s="129">
        <f t="shared" si="52"/>
        <v>5633.305879537741</v>
      </c>
      <c r="AH73" s="130">
        <f>AG73/J73</f>
        <v>1.1697063703359096</v>
      </c>
      <c r="AI73" s="130">
        <f t="shared" si="53"/>
        <v>45.466486614956807</v>
      </c>
      <c r="AJ73" s="128">
        <f t="shared" si="54"/>
        <v>3080.825879537741</v>
      </c>
      <c r="AK73" s="122">
        <f t="shared" si="55"/>
        <v>266.30477987218927</v>
      </c>
    </row>
    <row r="74" spans="1:37" x14ac:dyDescent="0.2">
      <c r="A74" s="22" t="s">
        <v>125</v>
      </c>
      <c r="B74" s="23" t="s">
        <v>4</v>
      </c>
      <c r="C74" s="5" t="s">
        <v>7</v>
      </c>
      <c r="D74" s="5" t="s">
        <v>59</v>
      </c>
      <c r="E74" s="5" t="s">
        <v>61</v>
      </c>
      <c r="F74" s="23" t="s">
        <v>31</v>
      </c>
      <c r="G74" s="24">
        <v>4.4000000000000004</v>
      </c>
      <c r="H74" s="25">
        <v>344</v>
      </c>
      <c r="I74" s="8">
        <v>14</v>
      </c>
      <c r="J74" s="35">
        <v>4816</v>
      </c>
      <c r="K74" s="35">
        <f t="shared" si="37"/>
        <v>21190.400000000001</v>
      </c>
      <c r="L74" s="35">
        <f t="shared" si="38"/>
        <v>21470.400000000001</v>
      </c>
      <c r="M74" s="26">
        <v>530</v>
      </c>
      <c r="N74" s="50">
        <f t="shared" si="39"/>
        <v>2552.48</v>
      </c>
      <c r="O74" s="113">
        <f t="shared" si="40"/>
        <v>0</v>
      </c>
      <c r="P74" s="113">
        <f t="shared" si="41"/>
        <v>0</v>
      </c>
      <c r="Q74" s="114">
        <f t="shared" si="42"/>
        <v>0</v>
      </c>
      <c r="R74" s="123">
        <f>N74/K74*$N$1</f>
        <v>0.16020454545454546</v>
      </c>
      <c r="S74" s="124">
        <v>0.16</v>
      </c>
      <c r="T74" s="124"/>
      <c r="U74" s="125">
        <f>N74</f>
        <v>2552.48</v>
      </c>
      <c r="V74" s="126">
        <f t="shared" si="43"/>
        <v>1373</v>
      </c>
      <c r="W74" s="115">
        <f>$W$7/N$2</f>
        <v>12.863390789812195</v>
      </c>
      <c r="X74" s="123">
        <f t="shared" si="44"/>
        <v>510.49600000000004</v>
      </c>
      <c r="Y74" s="123">
        <f t="shared" si="45"/>
        <v>551.33568000000002</v>
      </c>
      <c r="Z74" s="127">
        <f>$Z$7/$N$2</f>
        <v>231.54103421661952</v>
      </c>
      <c r="AA74" s="128">
        <f t="shared" si="46"/>
        <v>41.67738615899151</v>
      </c>
      <c r="AB74" s="128">
        <f t="shared" si="47"/>
        <v>593.01306615899148</v>
      </c>
      <c r="AC74" s="123">
        <f t="shared" si="48"/>
        <v>4680.3804250064313</v>
      </c>
      <c r="AD74" s="129">
        <f t="shared" si="49"/>
        <v>93.607608500128634</v>
      </c>
      <c r="AE74" s="129">
        <f t="shared" si="50"/>
        <v>4773.98803350656</v>
      </c>
      <c r="AF74" s="129">
        <f t="shared" si="51"/>
        <v>859.31784603118081</v>
      </c>
      <c r="AG74" s="129">
        <f t="shared" si="52"/>
        <v>5633.305879537741</v>
      </c>
      <c r="AH74" s="130">
        <f>AG74/J74</f>
        <v>1.1697063703359096</v>
      </c>
      <c r="AI74" s="130">
        <f t="shared" si="53"/>
        <v>45.466486614956807</v>
      </c>
      <c r="AJ74" s="128">
        <f t="shared" si="54"/>
        <v>3080.825879537741</v>
      </c>
      <c r="AK74" s="161">
        <f t="shared" si="55"/>
        <v>266.30477987218927</v>
      </c>
    </row>
    <row r="75" spans="1:37" x14ac:dyDescent="0.2">
      <c r="A75" s="22"/>
      <c r="B75" s="23"/>
      <c r="C75" s="5"/>
      <c r="D75" s="5"/>
      <c r="E75" s="5"/>
      <c r="F75" s="23"/>
      <c r="G75" s="24"/>
      <c r="H75" s="25"/>
      <c r="I75" s="30"/>
      <c r="J75" s="36"/>
      <c r="K75" s="35"/>
      <c r="L75" s="35"/>
      <c r="M75" s="29"/>
      <c r="N75" s="50"/>
      <c r="O75" s="113"/>
      <c r="P75" s="113"/>
      <c r="Q75" s="114"/>
      <c r="R75" s="123"/>
      <c r="S75" s="155"/>
      <c r="T75" s="155"/>
      <c r="U75" s="156"/>
      <c r="V75" s="157"/>
      <c r="W75" s="154"/>
      <c r="X75" s="123">
        <f t="shared" si="44"/>
        <v>0</v>
      </c>
      <c r="Y75" s="123">
        <f t="shared" si="45"/>
        <v>0</v>
      </c>
      <c r="Z75" s="158"/>
      <c r="AA75" s="159">
        <f t="shared" si="46"/>
        <v>0</v>
      </c>
      <c r="AB75" s="159">
        <f t="shared" si="47"/>
        <v>0</v>
      </c>
      <c r="AC75" s="123">
        <f t="shared" si="48"/>
        <v>0</v>
      </c>
      <c r="AD75" s="154"/>
      <c r="AE75" s="154"/>
      <c r="AF75" s="154"/>
      <c r="AG75" s="154"/>
      <c r="AH75" s="160"/>
      <c r="AI75" s="160"/>
      <c r="AJ75" s="128">
        <f t="shared" si="54"/>
        <v>0</v>
      </c>
      <c r="AK75" s="161">
        <f t="shared" si="55"/>
        <v>0</v>
      </c>
    </row>
    <row r="76" spans="1:37" x14ac:dyDescent="0.2">
      <c r="A76" s="22" t="s">
        <v>126</v>
      </c>
      <c r="B76" s="23" t="s">
        <v>4</v>
      </c>
      <c r="C76" s="5" t="s">
        <v>32</v>
      </c>
      <c r="D76" s="5" t="s">
        <v>56</v>
      </c>
      <c r="E76" s="5" t="s">
        <v>57</v>
      </c>
      <c r="F76" s="23" t="s">
        <v>31</v>
      </c>
      <c r="G76" s="24">
        <v>4.0999999999999996</v>
      </c>
      <c r="H76" s="25">
        <v>360</v>
      </c>
      <c r="I76" s="8">
        <v>14</v>
      </c>
      <c r="J76" s="35">
        <v>5040</v>
      </c>
      <c r="K76" s="35">
        <f t="shared" si="37"/>
        <v>20664</v>
      </c>
      <c r="L76" s="35">
        <f t="shared" si="38"/>
        <v>20944</v>
      </c>
      <c r="M76" s="26">
        <v>561</v>
      </c>
      <c r="N76" s="50">
        <f t="shared" si="39"/>
        <v>2827.44</v>
      </c>
      <c r="O76" s="113">
        <f t="shared" si="40"/>
        <v>0</v>
      </c>
      <c r="P76" s="113">
        <f t="shared" si="41"/>
        <v>0</v>
      </c>
      <c r="Q76" s="114">
        <f t="shared" si="42"/>
        <v>0</v>
      </c>
      <c r="R76" s="123">
        <f t="shared" ref="R76:R82" si="56">N76/K76*$N$1</f>
        <v>0.18198292682926831</v>
      </c>
      <c r="S76" s="124">
        <v>0.16</v>
      </c>
      <c r="T76" s="124"/>
      <c r="U76" s="125">
        <f>N76</f>
        <v>2827.44</v>
      </c>
      <c r="V76" s="126">
        <f t="shared" si="43"/>
        <v>1373</v>
      </c>
      <c r="W76" s="115">
        <f t="shared" ref="W76:W82" si="57">$W$7/N$2</f>
        <v>12.863390789812195</v>
      </c>
      <c r="X76" s="123">
        <f t="shared" si="44"/>
        <v>565.48800000000006</v>
      </c>
      <c r="Y76" s="123">
        <f t="shared" si="45"/>
        <v>610.72703999999999</v>
      </c>
      <c r="Z76" s="127">
        <f t="shared" ref="Z76:Z82" si="58">$Z$7/$N$2</f>
        <v>231.54103421661952</v>
      </c>
      <c r="AA76" s="128">
        <f t="shared" si="46"/>
        <v>41.67738615899151</v>
      </c>
      <c r="AB76" s="128">
        <f t="shared" si="47"/>
        <v>652.40442615899155</v>
      </c>
      <c r="AC76" s="123">
        <f t="shared" si="48"/>
        <v>5010.3324250064325</v>
      </c>
      <c r="AD76" s="129">
        <f t="shared" si="49"/>
        <v>100.20664850012865</v>
      </c>
      <c r="AE76" s="129">
        <f t="shared" si="50"/>
        <v>5110.5390735065612</v>
      </c>
      <c r="AF76" s="129">
        <f t="shared" si="51"/>
        <v>919.89703323118101</v>
      </c>
      <c r="AG76" s="129">
        <f t="shared" si="52"/>
        <v>6030.4361067377422</v>
      </c>
      <c r="AH76" s="130">
        <f t="shared" ref="AH76:AH82" si="59">AG76/J76</f>
        <v>1.1965151005432029</v>
      </c>
      <c r="AI76" s="130">
        <f t="shared" si="53"/>
        <v>46.508541958114293</v>
      </c>
      <c r="AJ76" s="128">
        <f t="shared" si="54"/>
        <v>3202.9961067377421</v>
      </c>
      <c r="AK76" s="161">
        <f t="shared" si="55"/>
        <v>267.49260707218951</v>
      </c>
    </row>
    <row r="77" spans="1:37" x14ac:dyDescent="0.2">
      <c r="A77" s="22" t="s">
        <v>127</v>
      </c>
      <c r="B77" s="23" t="s">
        <v>4</v>
      </c>
      <c r="C77" s="5" t="s">
        <v>33</v>
      </c>
      <c r="D77" s="5" t="s">
        <v>56</v>
      </c>
      <c r="E77" s="5" t="s">
        <v>57</v>
      </c>
      <c r="F77" s="23" t="s">
        <v>31</v>
      </c>
      <c r="G77" s="24">
        <v>4</v>
      </c>
      <c r="H77" s="25">
        <v>360</v>
      </c>
      <c r="I77" s="8">
        <v>15</v>
      </c>
      <c r="J77" s="35">
        <v>5400</v>
      </c>
      <c r="K77" s="35">
        <f t="shared" si="37"/>
        <v>21600</v>
      </c>
      <c r="L77" s="35">
        <f t="shared" si="38"/>
        <v>21900</v>
      </c>
      <c r="M77" s="26">
        <v>561</v>
      </c>
      <c r="N77" s="50">
        <f t="shared" si="39"/>
        <v>3029.4</v>
      </c>
      <c r="O77" s="113">
        <f t="shared" si="40"/>
        <v>0</v>
      </c>
      <c r="P77" s="113">
        <f t="shared" si="41"/>
        <v>0</v>
      </c>
      <c r="Q77" s="114">
        <f t="shared" si="42"/>
        <v>0</v>
      </c>
      <c r="R77" s="123">
        <f t="shared" si="56"/>
        <v>0.18653250000000002</v>
      </c>
      <c r="S77" s="124">
        <v>0.16</v>
      </c>
      <c r="T77" s="124"/>
      <c r="U77" s="125">
        <f t="shared" ref="U77:U82" si="60">N77</f>
        <v>3029.4</v>
      </c>
      <c r="V77" s="126">
        <f t="shared" si="43"/>
        <v>1373</v>
      </c>
      <c r="W77" s="115">
        <f t="shared" si="57"/>
        <v>12.863390789812195</v>
      </c>
      <c r="X77" s="123">
        <f t="shared" si="44"/>
        <v>605.88</v>
      </c>
      <c r="Y77" s="123">
        <f t="shared" si="45"/>
        <v>654.35040000000004</v>
      </c>
      <c r="Z77" s="127">
        <f t="shared" si="58"/>
        <v>231.54103421661952</v>
      </c>
      <c r="AA77" s="128">
        <f t="shared" si="46"/>
        <v>41.67738615899151</v>
      </c>
      <c r="AB77" s="128">
        <f t="shared" si="47"/>
        <v>696.0277861589916</v>
      </c>
      <c r="AC77" s="123">
        <f t="shared" si="48"/>
        <v>5252.6844250064314</v>
      </c>
      <c r="AD77" s="129">
        <f t="shared" si="49"/>
        <v>105.05368850012863</v>
      </c>
      <c r="AE77" s="129">
        <f t="shared" si="50"/>
        <v>5357.7381135065598</v>
      </c>
      <c r="AF77" s="129">
        <f t="shared" si="51"/>
        <v>964.39286043118068</v>
      </c>
      <c r="AG77" s="129">
        <f t="shared" si="52"/>
        <v>6322.1309739377402</v>
      </c>
      <c r="AH77" s="130">
        <f t="shared" si="59"/>
        <v>1.1707649951736556</v>
      </c>
      <c r="AI77" s="130">
        <f t="shared" si="53"/>
        <v>45.507635362399988</v>
      </c>
      <c r="AJ77" s="128">
        <f t="shared" si="54"/>
        <v>3292.7309739377401</v>
      </c>
      <c r="AK77" s="161">
        <f t="shared" si="55"/>
        <v>268.36507427218913</v>
      </c>
    </row>
    <row r="78" spans="1:37" x14ac:dyDescent="0.2">
      <c r="A78" s="22" t="s">
        <v>141</v>
      </c>
      <c r="B78" s="23" t="s">
        <v>4</v>
      </c>
      <c r="C78" s="5" t="s">
        <v>142</v>
      </c>
      <c r="D78" s="5" t="s">
        <v>56</v>
      </c>
      <c r="E78" s="5" t="s">
        <v>57</v>
      </c>
      <c r="F78" s="23" t="s">
        <v>31</v>
      </c>
      <c r="G78" s="24">
        <v>4</v>
      </c>
      <c r="H78" s="25">
        <v>360</v>
      </c>
      <c r="I78" s="8">
        <v>15</v>
      </c>
      <c r="J78" s="35">
        <v>5400</v>
      </c>
      <c r="K78" s="35">
        <f t="shared" si="37"/>
        <v>21600</v>
      </c>
      <c r="L78" s="35">
        <f t="shared" si="38"/>
        <v>21900</v>
      </c>
      <c r="M78" s="26">
        <v>561</v>
      </c>
      <c r="N78" s="50">
        <f t="shared" si="39"/>
        <v>3029.4</v>
      </c>
      <c r="O78" s="113">
        <f t="shared" si="40"/>
        <v>0</v>
      </c>
      <c r="P78" s="113">
        <f t="shared" si="41"/>
        <v>0</v>
      </c>
      <c r="Q78" s="114">
        <f t="shared" si="42"/>
        <v>0</v>
      </c>
      <c r="R78" s="123">
        <f t="shared" si="56"/>
        <v>0.18653250000000002</v>
      </c>
      <c r="S78" s="124">
        <v>0.16</v>
      </c>
      <c r="T78" s="124"/>
      <c r="U78" s="125">
        <f t="shared" si="60"/>
        <v>3029.4</v>
      </c>
      <c r="V78" s="126">
        <f t="shared" si="43"/>
        <v>1373</v>
      </c>
      <c r="W78" s="115">
        <f t="shared" si="57"/>
        <v>12.863390789812195</v>
      </c>
      <c r="X78" s="123">
        <f t="shared" si="44"/>
        <v>605.88</v>
      </c>
      <c r="Y78" s="123">
        <f t="shared" si="45"/>
        <v>654.35040000000004</v>
      </c>
      <c r="Z78" s="127">
        <f t="shared" si="58"/>
        <v>231.54103421661952</v>
      </c>
      <c r="AA78" s="128">
        <f t="shared" si="46"/>
        <v>41.67738615899151</v>
      </c>
      <c r="AB78" s="128">
        <f t="shared" si="47"/>
        <v>696.0277861589916</v>
      </c>
      <c r="AC78" s="123">
        <f t="shared" si="48"/>
        <v>5252.6844250064314</v>
      </c>
      <c r="AD78" s="129">
        <f t="shared" si="49"/>
        <v>105.05368850012863</v>
      </c>
      <c r="AE78" s="129">
        <f t="shared" si="50"/>
        <v>5357.7381135065598</v>
      </c>
      <c r="AF78" s="129">
        <f t="shared" si="51"/>
        <v>964.39286043118068</v>
      </c>
      <c r="AG78" s="129">
        <f t="shared" si="52"/>
        <v>6322.1309739377402</v>
      </c>
      <c r="AH78" s="130">
        <f t="shared" si="59"/>
        <v>1.1707649951736556</v>
      </c>
      <c r="AI78" s="130">
        <f t="shared" si="53"/>
        <v>45.507635362399988</v>
      </c>
      <c r="AJ78" s="128">
        <f t="shared" si="54"/>
        <v>3292.7309739377401</v>
      </c>
      <c r="AK78" s="161">
        <f t="shared" si="55"/>
        <v>268.36507427218913</v>
      </c>
    </row>
    <row r="79" spans="1:37" x14ac:dyDescent="0.2">
      <c r="A79" s="22" t="s">
        <v>128</v>
      </c>
      <c r="B79" s="23" t="s">
        <v>4</v>
      </c>
      <c r="C79" s="5" t="s">
        <v>34</v>
      </c>
      <c r="D79" s="5" t="s">
        <v>56</v>
      </c>
      <c r="E79" s="5" t="s">
        <v>57</v>
      </c>
      <c r="F79" s="23" t="s">
        <v>31</v>
      </c>
      <c r="G79" s="24">
        <v>4</v>
      </c>
      <c r="H79" s="25">
        <v>360</v>
      </c>
      <c r="I79" s="8">
        <v>15</v>
      </c>
      <c r="J79" s="35">
        <v>5400</v>
      </c>
      <c r="K79" s="35">
        <f t="shared" si="37"/>
        <v>21600</v>
      </c>
      <c r="L79" s="35">
        <f t="shared" si="38"/>
        <v>21900</v>
      </c>
      <c r="M79" s="26">
        <v>561</v>
      </c>
      <c r="N79" s="50">
        <f t="shared" si="39"/>
        <v>3029.4</v>
      </c>
      <c r="O79" s="113">
        <f t="shared" si="40"/>
        <v>0</v>
      </c>
      <c r="P79" s="113">
        <f t="shared" si="41"/>
        <v>0</v>
      </c>
      <c r="Q79" s="114">
        <f t="shared" si="42"/>
        <v>0</v>
      </c>
      <c r="R79" s="123">
        <f t="shared" si="56"/>
        <v>0.18653250000000002</v>
      </c>
      <c r="S79" s="124">
        <v>0.16</v>
      </c>
      <c r="T79" s="124"/>
      <c r="U79" s="125">
        <f t="shared" si="60"/>
        <v>3029.4</v>
      </c>
      <c r="V79" s="126">
        <f t="shared" si="43"/>
        <v>1373</v>
      </c>
      <c r="W79" s="115">
        <f t="shared" si="57"/>
        <v>12.863390789812195</v>
      </c>
      <c r="X79" s="123">
        <f t="shared" si="44"/>
        <v>605.88</v>
      </c>
      <c r="Y79" s="123">
        <f t="shared" si="45"/>
        <v>654.35040000000004</v>
      </c>
      <c r="Z79" s="127">
        <f t="shared" si="58"/>
        <v>231.54103421661952</v>
      </c>
      <c r="AA79" s="128">
        <f t="shared" si="46"/>
        <v>41.67738615899151</v>
      </c>
      <c r="AB79" s="128">
        <f t="shared" si="47"/>
        <v>696.0277861589916</v>
      </c>
      <c r="AC79" s="123">
        <f t="shared" si="48"/>
        <v>5252.6844250064314</v>
      </c>
      <c r="AD79" s="129">
        <f t="shared" si="49"/>
        <v>105.05368850012863</v>
      </c>
      <c r="AE79" s="129">
        <f t="shared" si="50"/>
        <v>5357.7381135065598</v>
      </c>
      <c r="AF79" s="129">
        <f t="shared" si="51"/>
        <v>964.39286043118068</v>
      </c>
      <c r="AG79" s="129">
        <f t="shared" si="52"/>
        <v>6322.1309739377402</v>
      </c>
      <c r="AH79" s="130">
        <f t="shared" si="59"/>
        <v>1.1707649951736556</v>
      </c>
      <c r="AI79" s="130">
        <f t="shared" si="53"/>
        <v>45.507635362399988</v>
      </c>
      <c r="AJ79" s="128">
        <f t="shared" si="54"/>
        <v>3292.7309739377401</v>
      </c>
      <c r="AK79" s="161">
        <f t="shared" si="55"/>
        <v>268.36507427218913</v>
      </c>
    </row>
    <row r="80" spans="1:37" x14ac:dyDescent="0.2">
      <c r="A80" s="38" t="s">
        <v>129</v>
      </c>
      <c r="B80" s="39" t="s">
        <v>4</v>
      </c>
      <c r="C80" s="40" t="s">
        <v>35</v>
      </c>
      <c r="D80" s="40" t="s">
        <v>56</v>
      </c>
      <c r="E80" s="40" t="s">
        <v>57</v>
      </c>
      <c r="F80" s="39" t="s">
        <v>31</v>
      </c>
      <c r="G80" s="41">
        <v>4.0999999999999996</v>
      </c>
      <c r="H80" s="42">
        <v>360</v>
      </c>
      <c r="I80" s="43">
        <v>14</v>
      </c>
      <c r="J80" s="44">
        <v>5040</v>
      </c>
      <c r="K80" s="44">
        <f t="shared" si="37"/>
        <v>20664</v>
      </c>
      <c r="L80" s="44">
        <f t="shared" si="38"/>
        <v>20944</v>
      </c>
      <c r="M80" s="45">
        <v>401</v>
      </c>
      <c r="N80" s="168">
        <f t="shared" si="39"/>
        <v>2021.04</v>
      </c>
      <c r="O80" s="169">
        <f t="shared" si="40"/>
        <v>0</v>
      </c>
      <c r="P80" s="169">
        <f t="shared" si="41"/>
        <v>0</v>
      </c>
      <c r="Q80" s="170">
        <f t="shared" si="42"/>
        <v>0</v>
      </c>
      <c r="R80" s="171">
        <f t="shared" si="56"/>
        <v>0.13008048780487805</v>
      </c>
      <c r="S80" s="172">
        <v>0.16</v>
      </c>
      <c r="T80" s="172"/>
      <c r="U80" s="125">
        <f>S80*K80/$N$1</f>
        <v>2485.8947368421054</v>
      </c>
      <c r="V80" s="174">
        <f t="shared" si="43"/>
        <v>1373</v>
      </c>
      <c r="W80" s="171">
        <f t="shared" si="57"/>
        <v>12.863390789812195</v>
      </c>
      <c r="X80" s="123">
        <f t="shared" si="44"/>
        <v>497.17894736842112</v>
      </c>
      <c r="Y80" s="123">
        <f t="shared" si="45"/>
        <v>536.95326315789475</v>
      </c>
      <c r="Z80" s="175">
        <f t="shared" si="58"/>
        <v>231.54103421661952</v>
      </c>
      <c r="AA80" s="176">
        <f t="shared" si="46"/>
        <v>41.67738615899151</v>
      </c>
      <c r="AB80" s="176">
        <f t="shared" si="47"/>
        <v>578.63064931688632</v>
      </c>
      <c r="AC80" s="123">
        <f t="shared" si="48"/>
        <v>4135.6233723748528</v>
      </c>
      <c r="AD80" s="171">
        <f t="shared" si="49"/>
        <v>82.712467447497062</v>
      </c>
      <c r="AE80" s="171">
        <f t="shared" si="50"/>
        <v>4218.33583982235</v>
      </c>
      <c r="AF80" s="171">
        <f t="shared" si="51"/>
        <v>759.30045116802296</v>
      </c>
      <c r="AG80" s="171">
        <f t="shared" si="52"/>
        <v>4977.6362909903728</v>
      </c>
      <c r="AH80" s="177">
        <f t="shared" si="59"/>
        <v>0.98762624821237555</v>
      </c>
      <c r="AI80" s="130">
        <f t="shared" si="53"/>
        <v>38.389032268015036</v>
      </c>
      <c r="AJ80" s="128">
        <f t="shared" si="54"/>
        <v>2956.5962909903728</v>
      </c>
      <c r="AK80" s="178">
        <f t="shared" si="55"/>
        <v>180.6698018511367</v>
      </c>
    </row>
    <row r="81" spans="1:37" x14ac:dyDescent="0.2">
      <c r="A81" s="22" t="s">
        <v>130</v>
      </c>
      <c r="B81" s="23" t="s">
        <v>4</v>
      </c>
      <c r="C81" s="5" t="s">
        <v>36</v>
      </c>
      <c r="D81" s="5" t="s">
        <v>56</v>
      </c>
      <c r="E81" s="5" t="s">
        <v>57</v>
      </c>
      <c r="F81" s="23" t="s">
        <v>31</v>
      </c>
      <c r="G81" s="24">
        <v>3.8</v>
      </c>
      <c r="H81" s="25">
        <v>352</v>
      </c>
      <c r="I81" s="8">
        <v>16</v>
      </c>
      <c r="J81" s="35">
        <v>5632</v>
      </c>
      <c r="K81" s="35">
        <f t="shared" si="37"/>
        <v>21401.599999999999</v>
      </c>
      <c r="L81" s="35">
        <f t="shared" si="38"/>
        <v>21721.599999999999</v>
      </c>
      <c r="M81" s="26">
        <v>561</v>
      </c>
      <c r="N81" s="50">
        <f t="shared" si="39"/>
        <v>3159.5520000000001</v>
      </c>
      <c r="O81" s="113">
        <f t="shared" si="40"/>
        <v>0</v>
      </c>
      <c r="P81" s="113">
        <f t="shared" si="41"/>
        <v>0</v>
      </c>
      <c r="Q81" s="114">
        <f t="shared" si="42"/>
        <v>0</v>
      </c>
      <c r="R81" s="123">
        <f t="shared" si="56"/>
        <v>0.19635000000000005</v>
      </c>
      <c r="S81" s="124">
        <v>0.16</v>
      </c>
      <c r="T81" s="124"/>
      <c r="U81" s="125">
        <f t="shared" si="60"/>
        <v>3159.5520000000001</v>
      </c>
      <c r="V81" s="126">
        <f t="shared" si="43"/>
        <v>1373</v>
      </c>
      <c r="W81" s="115">
        <f t="shared" si="57"/>
        <v>12.863390789812195</v>
      </c>
      <c r="X81" s="123">
        <f t="shared" si="44"/>
        <v>631.9104000000001</v>
      </c>
      <c r="Y81" s="123">
        <f t="shared" si="45"/>
        <v>682.46323200000006</v>
      </c>
      <c r="Z81" s="127">
        <f t="shared" si="58"/>
        <v>231.54103421661952</v>
      </c>
      <c r="AA81" s="128">
        <f t="shared" si="46"/>
        <v>41.67738615899151</v>
      </c>
      <c r="AB81" s="128">
        <f t="shared" si="47"/>
        <v>724.14061815899163</v>
      </c>
      <c r="AC81" s="123">
        <f t="shared" si="48"/>
        <v>5408.8668250064311</v>
      </c>
      <c r="AD81" s="129">
        <f t="shared" si="49"/>
        <v>108.17733650012862</v>
      </c>
      <c r="AE81" s="129">
        <f t="shared" si="50"/>
        <v>5517.0441615065602</v>
      </c>
      <c r="AF81" s="129">
        <f t="shared" si="51"/>
        <v>993.06794907118081</v>
      </c>
      <c r="AG81" s="129">
        <f t="shared" si="52"/>
        <v>6510.1121105777411</v>
      </c>
      <c r="AH81" s="130">
        <f t="shared" si="59"/>
        <v>1.1559147923611046</v>
      </c>
      <c r="AI81" s="130">
        <f t="shared" si="53"/>
        <v>44.930407979076136</v>
      </c>
      <c r="AJ81" s="128">
        <f t="shared" si="54"/>
        <v>3350.5601105777409</v>
      </c>
      <c r="AK81" s="161">
        <f t="shared" si="55"/>
        <v>268.92733091218923</v>
      </c>
    </row>
    <row r="82" spans="1:37" x14ac:dyDescent="0.2">
      <c r="A82" s="22" t="s">
        <v>131</v>
      </c>
      <c r="B82" s="23" t="s">
        <v>4</v>
      </c>
      <c r="C82" s="5" t="s">
        <v>37</v>
      </c>
      <c r="D82" s="5" t="s">
        <v>56</v>
      </c>
      <c r="E82" s="5" t="s">
        <v>57</v>
      </c>
      <c r="F82" s="23" t="s">
        <v>31</v>
      </c>
      <c r="G82" s="24">
        <v>3.9</v>
      </c>
      <c r="H82" s="25">
        <v>360</v>
      </c>
      <c r="I82" s="8">
        <v>15</v>
      </c>
      <c r="J82" s="35">
        <v>5400</v>
      </c>
      <c r="K82" s="35">
        <f t="shared" si="37"/>
        <v>21060</v>
      </c>
      <c r="L82" s="35">
        <f t="shared" si="38"/>
        <v>21360</v>
      </c>
      <c r="M82" s="26">
        <v>561</v>
      </c>
      <c r="N82" s="50">
        <f t="shared" si="39"/>
        <v>3029.4</v>
      </c>
      <c r="O82" s="113">
        <f t="shared" si="40"/>
        <v>0</v>
      </c>
      <c r="P82" s="113">
        <f t="shared" si="41"/>
        <v>0</v>
      </c>
      <c r="Q82" s="114">
        <f t="shared" si="42"/>
        <v>0</v>
      </c>
      <c r="R82" s="123">
        <f t="shared" si="56"/>
        <v>0.19131538461538464</v>
      </c>
      <c r="S82" s="124">
        <v>0.16</v>
      </c>
      <c r="T82" s="124"/>
      <c r="U82" s="125">
        <f t="shared" si="60"/>
        <v>3029.4</v>
      </c>
      <c r="V82" s="126">
        <f t="shared" si="43"/>
        <v>1373</v>
      </c>
      <c r="W82" s="115">
        <f t="shared" si="57"/>
        <v>12.863390789812195</v>
      </c>
      <c r="X82" s="123">
        <f t="shared" si="44"/>
        <v>605.88</v>
      </c>
      <c r="Y82" s="123">
        <f t="shared" si="45"/>
        <v>654.35040000000004</v>
      </c>
      <c r="Z82" s="127">
        <f t="shared" si="58"/>
        <v>231.54103421661952</v>
      </c>
      <c r="AA82" s="128">
        <f t="shared" si="46"/>
        <v>41.67738615899151</v>
      </c>
      <c r="AB82" s="128">
        <f t="shared" si="47"/>
        <v>696.0277861589916</v>
      </c>
      <c r="AC82" s="123">
        <f t="shared" si="48"/>
        <v>5252.6844250064314</v>
      </c>
      <c r="AD82" s="129">
        <f t="shared" si="49"/>
        <v>105.05368850012863</v>
      </c>
      <c r="AE82" s="129">
        <f t="shared" si="50"/>
        <v>5357.7381135065598</v>
      </c>
      <c r="AF82" s="129">
        <f t="shared" si="51"/>
        <v>964.39286043118068</v>
      </c>
      <c r="AG82" s="129">
        <f t="shared" si="52"/>
        <v>6322.1309739377402</v>
      </c>
      <c r="AH82" s="130">
        <f t="shared" si="59"/>
        <v>1.1707649951736556</v>
      </c>
      <c r="AI82" s="130">
        <f t="shared" si="53"/>
        <v>45.507635362399988</v>
      </c>
      <c r="AJ82" s="128">
        <f t="shared" si="54"/>
        <v>3292.7309739377401</v>
      </c>
      <c r="AK82" s="161">
        <f t="shared" si="55"/>
        <v>268.36507427218913</v>
      </c>
    </row>
    <row r="83" spans="1:37" x14ac:dyDescent="0.2">
      <c r="A83" s="142"/>
      <c r="B83" s="143"/>
      <c r="C83" s="144"/>
      <c r="D83" s="144"/>
      <c r="E83" s="144"/>
      <c r="F83" s="143"/>
      <c r="G83" s="145"/>
      <c r="H83" s="146"/>
      <c r="I83" s="147"/>
      <c r="J83" s="148"/>
      <c r="K83" s="149"/>
      <c r="L83" s="149"/>
      <c r="M83" s="150"/>
      <c r="N83" s="151"/>
      <c r="O83" s="152"/>
      <c r="P83" s="152"/>
      <c r="Q83" s="153"/>
      <c r="R83" s="154"/>
      <c r="S83" s="155"/>
      <c r="T83" s="155"/>
      <c r="U83" s="156"/>
      <c r="V83" s="157"/>
      <c r="W83" s="154"/>
      <c r="X83" s="123">
        <f t="shared" si="44"/>
        <v>0</v>
      </c>
      <c r="Y83" s="123">
        <f t="shared" si="45"/>
        <v>0</v>
      </c>
      <c r="Z83" s="158"/>
      <c r="AA83" s="159"/>
      <c r="AB83" s="159"/>
      <c r="AC83" s="123">
        <f t="shared" si="48"/>
        <v>0</v>
      </c>
      <c r="AD83" s="154"/>
      <c r="AE83" s="154"/>
      <c r="AF83" s="154"/>
      <c r="AG83" s="154"/>
      <c r="AH83" s="160"/>
      <c r="AI83" s="160"/>
      <c r="AJ83" s="128">
        <f t="shared" si="54"/>
        <v>0</v>
      </c>
      <c r="AK83" s="161"/>
    </row>
    <row r="84" spans="1:37" ht="15" x14ac:dyDescent="0.25">
      <c r="A84" s="162" t="s">
        <v>54</v>
      </c>
      <c r="B84" s="163"/>
      <c r="C84" s="164"/>
      <c r="D84" s="164"/>
      <c r="E84" s="164"/>
      <c r="F84" s="163"/>
      <c r="G84" s="165"/>
      <c r="H84" s="166"/>
      <c r="I84" s="167"/>
      <c r="J84" s="148"/>
      <c r="K84" s="149"/>
      <c r="L84" s="149"/>
      <c r="M84" s="150"/>
      <c r="N84" s="151"/>
      <c r="O84" s="152"/>
      <c r="P84" s="152"/>
      <c r="Q84" s="153"/>
      <c r="R84" s="154"/>
      <c r="S84" s="155"/>
      <c r="T84" s="155"/>
      <c r="U84" s="156"/>
      <c r="V84" s="157"/>
      <c r="W84" s="154"/>
      <c r="X84" s="123">
        <f t="shared" si="44"/>
        <v>0</v>
      </c>
      <c r="Y84" s="123">
        <f t="shared" si="45"/>
        <v>0</v>
      </c>
      <c r="Z84" s="158"/>
      <c r="AA84" s="159"/>
      <c r="AB84" s="159"/>
      <c r="AC84" s="123">
        <f t="shared" si="48"/>
        <v>0</v>
      </c>
      <c r="AD84" s="154"/>
      <c r="AE84" s="154"/>
      <c r="AF84" s="154"/>
      <c r="AG84" s="154"/>
      <c r="AH84" s="160"/>
      <c r="AI84" s="160"/>
      <c r="AJ84" s="128">
        <f t="shared" si="54"/>
        <v>0</v>
      </c>
      <c r="AK84" s="161"/>
    </row>
    <row r="85" spans="1:37" x14ac:dyDescent="0.2">
      <c r="A85" s="22" t="s">
        <v>132</v>
      </c>
      <c r="B85" s="23" t="s">
        <v>38</v>
      </c>
      <c r="C85" s="5" t="s">
        <v>79</v>
      </c>
      <c r="D85" s="5" t="s">
        <v>56</v>
      </c>
      <c r="E85" s="5" t="s">
        <v>57</v>
      </c>
      <c r="F85" s="23" t="s">
        <v>2</v>
      </c>
      <c r="G85" s="24">
        <v>6.7</v>
      </c>
      <c r="H85" s="25">
        <v>129</v>
      </c>
      <c r="I85" s="8">
        <v>24</v>
      </c>
      <c r="J85" s="35">
        <v>3096</v>
      </c>
      <c r="K85" s="35">
        <f t="shared" si="37"/>
        <v>20743.2</v>
      </c>
      <c r="L85" s="35">
        <f t="shared" si="38"/>
        <v>21223.200000000001</v>
      </c>
      <c r="M85" s="26">
        <v>781</v>
      </c>
      <c r="N85" s="50">
        <f t="shared" si="39"/>
        <v>2417.9760000000001</v>
      </c>
      <c r="O85" s="113">
        <f t="shared" si="40"/>
        <v>0</v>
      </c>
      <c r="P85" s="113">
        <f t="shared" si="41"/>
        <v>0</v>
      </c>
      <c r="Q85" s="114">
        <f t="shared" si="42"/>
        <v>0</v>
      </c>
      <c r="R85" s="123">
        <f>N85/K85*$N$1</f>
        <v>0.15503432835820896</v>
      </c>
      <c r="S85" s="124">
        <v>0.16</v>
      </c>
      <c r="T85" s="124"/>
      <c r="U85" s="125">
        <f>N85</f>
        <v>2417.9760000000001</v>
      </c>
      <c r="V85" s="126">
        <f t="shared" si="43"/>
        <v>1373</v>
      </c>
      <c r="W85" s="115">
        <f>$W$7/N$2</f>
        <v>12.863390789812195</v>
      </c>
      <c r="X85" s="123">
        <f t="shared" si="44"/>
        <v>483.59520000000003</v>
      </c>
      <c r="Y85" s="123">
        <f t="shared" si="45"/>
        <v>522.28281600000003</v>
      </c>
      <c r="Z85" s="127">
        <f>$Z$7/$N$2</f>
        <v>231.54103421661952</v>
      </c>
      <c r="AA85" s="128">
        <f t="shared" si="46"/>
        <v>41.67738615899151</v>
      </c>
      <c r="AB85" s="128">
        <f t="shared" si="47"/>
        <v>563.96020215899148</v>
      </c>
      <c r="AC85" s="123">
        <f t="shared" si="48"/>
        <v>4518.975625006432</v>
      </c>
      <c r="AD85" s="129">
        <f t="shared" si="49"/>
        <v>90.379512500128641</v>
      </c>
      <c r="AE85" s="129">
        <f t="shared" si="50"/>
        <v>4609.3551375065608</v>
      </c>
      <c r="AF85" s="129">
        <f t="shared" si="51"/>
        <v>829.68392475118094</v>
      </c>
      <c r="AG85" s="129">
        <f t="shared" si="52"/>
        <v>5439.0390622577415</v>
      </c>
      <c r="AH85" s="130">
        <f>AG85/J85</f>
        <v>1.7567955627447485</v>
      </c>
      <c r="AI85" s="130">
        <f t="shared" si="53"/>
        <v>68.286643523888372</v>
      </c>
      <c r="AJ85" s="128">
        <f t="shared" si="54"/>
        <v>3021.0630622577414</v>
      </c>
      <c r="AK85" s="161">
        <f t="shared" si="55"/>
        <v>265.7237225921894</v>
      </c>
    </row>
    <row r="86" spans="1:37" x14ac:dyDescent="0.2">
      <c r="A86" s="189"/>
      <c r="B86" s="190"/>
      <c r="C86" s="191"/>
      <c r="D86" s="191"/>
      <c r="E86" s="191"/>
      <c r="F86" s="190"/>
      <c r="G86" s="145"/>
      <c r="H86" s="146"/>
      <c r="I86" s="147"/>
      <c r="J86" s="148"/>
      <c r="K86" s="149"/>
      <c r="L86" s="149"/>
      <c r="M86" s="188"/>
      <c r="N86" s="151"/>
      <c r="O86" s="152"/>
      <c r="P86" s="152"/>
      <c r="Q86" s="153"/>
      <c r="R86" s="154"/>
      <c r="S86" s="155"/>
      <c r="T86" s="155"/>
      <c r="U86" s="156"/>
      <c r="V86" s="157"/>
      <c r="W86" s="154"/>
      <c r="X86" s="123">
        <f t="shared" si="44"/>
        <v>0</v>
      </c>
      <c r="Y86" s="123">
        <f t="shared" si="45"/>
        <v>0</v>
      </c>
      <c r="Z86" s="158"/>
      <c r="AA86" s="159"/>
      <c r="AB86" s="159"/>
      <c r="AC86" s="123">
        <f t="shared" si="48"/>
        <v>0</v>
      </c>
      <c r="AD86" s="154"/>
      <c r="AE86" s="154"/>
      <c r="AF86" s="154"/>
      <c r="AG86" s="154"/>
      <c r="AH86" s="160"/>
      <c r="AI86" s="160"/>
      <c r="AJ86" s="128">
        <f t="shared" si="54"/>
        <v>0</v>
      </c>
      <c r="AK86" s="161"/>
    </row>
    <row r="87" spans="1:37" x14ac:dyDescent="0.2">
      <c r="A87" s="22" t="s">
        <v>133</v>
      </c>
      <c r="B87" s="23" t="s">
        <v>39</v>
      </c>
      <c r="C87" s="5" t="s">
        <v>72</v>
      </c>
      <c r="D87" s="5" t="s">
        <v>56</v>
      </c>
      <c r="E87" s="5" t="s">
        <v>57</v>
      </c>
      <c r="F87" s="23"/>
      <c r="G87" s="24">
        <v>4.4000000000000004</v>
      </c>
      <c r="H87" s="25">
        <v>336</v>
      </c>
      <c r="I87" s="8">
        <v>14</v>
      </c>
      <c r="J87" s="35">
        <v>4704</v>
      </c>
      <c r="K87" s="35">
        <f t="shared" si="37"/>
        <v>20697.600000000002</v>
      </c>
      <c r="L87" s="35">
        <f t="shared" si="38"/>
        <v>20977.600000000002</v>
      </c>
      <c r="M87" s="26">
        <v>561</v>
      </c>
      <c r="N87" s="50">
        <f t="shared" si="39"/>
        <v>2638.944</v>
      </c>
      <c r="O87" s="113">
        <f t="shared" si="40"/>
        <v>0</v>
      </c>
      <c r="P87" s="113">
        <f t="shared" si="41"/>
        <v>0</v>
      </c>
      <c r="Q87" s="114">
        <f t="shared" si="42"/>
        <v>0</v>
      </c>
      <c r="R87" s="123">
        <f>N87/K87*$N$1</f>
        <v>0.16957499999999998</v>
      </c>
      <c r="S87" s="124">
        <v>0.16</v>
      </c>
      <c r="T87" s="124"/>
      <c r="U87" s="125">
        <f>N87</f>
        <v>2638.944</v>
      </c>
      <c r="V87" s="126">
        <f t="shared" si="43"/>
        <v>1373</v>
      </c>
      <c r="W87" s="115">
        <f>$W$7/N$2</f>
        <v>12.863390789812195</v>
      </c>
      <c r="X87" s="123">
        <f t="shared" si="44"/>
        <v>527.78880000000004</v>
      </c>
      <c r="Y87" s="123">
        <f t="shared" si="45"/>
        <v>570.01190399999996</v>
      </c>
      <c r="Z87" s="127">
        <f>$Z$7/$N$2</f>
        <v>231.54103421661952</v>
      </c>
      <c r="AA87" s="128">
        <f t="shared" si="46"/>
        <v>41.67738615899151</v>
      </c>
      <c r="AB87" s="128">
        <f t="shared" si="47"/>
        <v>611.68929015899153</v>
      </c>
      <c r="AC87" s="123">
        <f t="shared" si="48"/>
        <v>4784.1372250064314</v>
      </c>
      <c r="AD87" s="129">
        <f t="shared" si="49"/>
        <v>95.682744500128635</v>
      </c>
      <c r="AE87" s="129">
        <f t="shared" si="50"/>
        <v>4879.8199695065605</v>
      </c>
      <c r="AF87" s="129">
        <f t="shared" si="51"/>
        <v>878.36759451118087</v>
      </c>
      <c r="AG87" s="129">
        <f t="shared" si="52"/>
        <v>5758.1875640177414</v>
      </c>
      <c r="AH87" s="130">
        <f>AG87/J87</f>
        <v>1.2241044991534313</v>
      </c>
      <c r="AI87" s="130">
        <f t="shared" si="53"/>
        <v>47.580941882093875</v>
      </c>
      <c r="AJ87" s="128">
        <f t="shared" si="54"/>
        <v>3119.2435640177414</v>
      </c>
      <c r="AK87" s="161">
        <f t="shared" si="55"/>
        <v>266.6783043521894</v>
      </c>
    </row>
    <row r="88" spans="1:37" x14ac:dyDescent="0.2">
      <c r="A88" s="189"/>
      <c r="B88" s="190"/>
      <c r="C88" s="191"/>
      <c r="D88" s="191"/>
      <c r="E88" s="191"/>
      <c r="F88" s="190"/>
      <c r="G88" s="145"/>
      <c r="H88" s="146"/>
      <c r="I88" s="147"/>
      <c r="J88" s="148"/>
      <c r="K88" s="149"/>
      <c r="L88" s="149"/>
      <c r="M88" s="188"/>
      <c r="N88" s="151"/>
      <c r="O88" s="152"/>
      <c r="P88" s="152"/>
      <c r="Q88" s="153"/>
      <c r="R88" s="154"/>
      <c r="S88" s="155"/>
      <c r="T88" s="155"/>
      <c r="U88" s="156"/>
      <c r="V88" s="157"/>
      <c r="W88" s="154"/>
      <c r="X88" s="123">
        <f t="shared" si="44"/>
        <v>0</v>
      </c>
      <c r="Y88" s="123">
        <f t="shared" si="45"/>
        <v>0</v>
      </c>
      <c r="Z88" s="158"/>
      <c r="AA88" s="159"/>
      <c r="AB88" s="159"/>
      <c r="AC88" s="123">
        <f t="shared" si="48"/>
        <v>0</v>
      </c>
      <c r="AD88" s="154"/>
      <c r="AE88" s="154"/>
      <c r="AF88" s="154"/>
      <c r="AG88" s="154"/>
      <c r="AH88" s="160"/>
      <c r="AI88" s="160"/>
      <c r="AJ88" s="128">
        <f t="shared" si="54"/>
        <v>0</v>
      </c>
      <c r="AK88" s="161"/>
    </row>
    <row r="89" spans="1:37" x14ac:dyDescent="0.2">
      <c r="A89" s="22" t="s">
        <v>134</v>
      </c>
      <c r="B89" s="23" t="s">
        <v>40</v>
      </c>
      <c r="C89" s="5" t="s">
        <v>73</v>
      </c>
      <c r="D89" s="5" t="s">
        <v>56</v>
      </c>
      <c r="E89" s="5" t="s">
        <v>57</v>
      </c>
      <c r="F89" s="23"/>
      <c r="G89" s="24">
        <v>2.8</v>
      </c>
      <c r="H89" s="25">
        <v>448</v>
      </c>
      <c r="I89" s="8">
        <v>17</v>
      </c>
      <c r="J89" s="35">
        <v>7616</v>
      </c>
      <c r="K89" s="35">
        <f t="shared" si="37"/>
        <v>21324.799999999999</v>
      </c>
      <c r="L89" s="35">
        <f t="shared" si="38"/>
        <v>21664.799999999999</v>
      </c>
      <c r="M89" s="26">
        <v>398</v>
      </c>
      <c r="N89" s="50">
        <f t="shared" si="39"/>
        <v>3031.1680000000001</v>
      </c>
      <c r="O89" s="113">
        <f t="shared" si="40"/>
        <v>0</v>
      </c>
      <c r="P89" s="113">
        <f t="shared" si="41"/>
        <v>0</v>
      </c>
      <c r="Q89" s="114">
        <f t="shared" si="42"/>
        <v>0</v>
      </c>
      <c r="R89" s="123">
        <f>N89/K89*$N$1</f>
        <v>0.18905000000000002</v>
      </c>
      <c r="S89" s="124">
        <v>0.16</v>
      </c>
      <c r="T89" s="124"/>
      <c r="U89" s="125">
        <f>N89</f>
        <v>3031.1680000000001</v>
      </c>
      <c r="V89" s="126">
        <f t="shared" si="43"/>
        <v>1373</v>
      </c>
      <c r="W89" s="115">
        <f>$W$7/N$2</f>
        <v>12.863390789812195</v>
      </c>
      <c r="X89" s="123">
        <f t="shared" si="44"/>
        <v>606.23360000000002</v>
      </c>
      <c r="Y89" s="123">
        <f t="shared" si="45"/>
        <v>654.73228800000004</v>
      </c>
      <c r="Z89" s="127">
        <f>$Z$7/$N$2</f>
        <v>231.54103421661952</v>
      </c>
      <c r="AA89" s="128">
        <f t="shared" si="46"/>
        <v>41.67738615899151</v>
      </c>
      <c r="AB89" s="128">
        <f t="shared" si="47"/>
        <v>696.40967415899149</v>
      </c>
      <c r="AC89" s="123">
        <f t="shared" si="48"/>
        <v>5254.8060250064318</v>
      </c>
      <c r="AD89" s="129">
        <f t="shared" si="49"/>
        <v>105.09612050012863</v>
      </c>
      <c r="AE89" s="129">
        <f t="shared" si="50"/>
        <v>5359.9021455065604</v>
      </c>
      <c r="AF89" s="129">
        <f t="shared" si="51"/>
        <v>964.78238619118088</v>
      </c>
      <c r="AG89" s="129">
        <f t="shared" si="52"/>
        <v>6324.6845316977415</v>
      </c>
      <c r="AH89" s="130">
        <f>AG89/J89</f>
        <v>0.83044702359476652</v>
      </c>
      <c r="AI89" s="130">
        <f t="shared" si="53"/>
        <v>32.27947580712857</v>
      </c>
      <c r="AJ89" s="128">
        <f t="shared" si="54"/>
        <v>3293.5165316977414</v>
      </c>
      <c r="AK89" s="161">
        <f t="shared" si="55"/>
        <v>268.37271203218933</v>
      </c>
    </row>
    <row r="90" spans="1:37" x14ac:dyDescent="0.2">
      <c r="A90" s="22" t="s">
        <v>135</v>
      </c>
      <c r="B90" s="23" t="s">
        <v>41</v>
      </c>
      <c r="C90" s="5" t="s">
        <v>74</v>
      </c>
      <c r="D90" s="5" t="s">
        <v>56</v>
      </c>
      <c r="E90" s="5" t="s">
        <v>57</v>
      </c>
      <c r="F90" s="23"/>
      <c r="G90" s="24">
        <v>4.0999999999999996</v>
      </c>
      <c r="H90" s="25">
        <v>252</v>
      </c>
      <c r="I90" s="8">
        <v>20</v>
      </c>
      <c r="J90" s="35">
        <v>5040</v>
      </c>
      <c r="K90" s="35">
        <f t="shared" si="37"/>
        <v>20664</v>
      </c>
      <c r="L90" s="35">
        <f t="shared" si="38"/>
        <v>21064</v>
      </c>
      <c r="M90" s="26">
        <v>572</v>
      </c>
      <c r="N90" s="50">
        <f t="shared" si="39"/>
        <v>2882.88</v>
      </c>
      <c r="O90" s="113">
        <f t="shared" si="40"/>
        <v>0</v>
      </c>
      <c r="P90" s="113">
        <f t="shared" si="41"/>
        <v>0</v>
      </c>
      <c r="Q90" s="114">
        <f t="shared" si="42"/>
        <v>0</v>
      </c>
      <c r="R90" s="123">
        <f>N90/K90*$N$1</f>
        <v>0.18555121951219514</v>
      </c>
      <c r="S90" s="124">
        <v>0.16</v>
      </c>
      <c r="T90" s="124"/>
      <c r="U90" s="125">
        <f>N90</f>
        <v>2882.88</v>
      </c>
      <c r="V90" s="126">
        <f t="shared" si="43"/>
        <v>1373</v>
      </c>
      <c r="W90" s="115">
        <f>$W$7/N$2</f>
        <v>12.863390789812195</v>
      </c>
      <c r="X90" s="123">
        <f t="shared" si="44"/>
        <v>576.57600000000002</v>
      </c>
      <c r="Y90" s="123">
        <f t="shared" si="45"/>
        <v>622.70208000000002</v>
      </c>
      <c r="Z90" s="127">
        <f>$Z$7/$N$2</f>
        <v>231.54103421661952</v>
      </c>
      <c r="AA90" s="128">
        <f t="shared" si="46"/>
        <v>41.67738615899151</v>
      </c>
      <c r="AB90" s="128">
        <f t="shared" si="47"/>
        <v>664.37946615899159</v>
      </c>
      <c r="AC90" s="123">
        <f t="shared" si="48"/>
        <v>5076.8604250064318</v>
      </c>
      <c r="AD90" s="129">
        <f t="shared" si="49"/>
        <v>101.53720850012864</v>
      </c>
      <c r="AE90" s="129">
        <f t="shared" si="50"/>
        <v>5178.3976335065609</v>
      </c>
      <c r="AF90" s="129">
        <f t="shared" si="51"/>
        <v>932.11157403118091</v>
      </c>
      <c r="AG90" s="129">
        <f t="shared" si="52"/>
        <v>6110.5092075377415</v>
      </c>
      <c r="AH90" s="130">
        <f>AG90/J90</f>
        <v>1.2124026205432026</v>
      </c>
      <c r="AI90" s="130">
        <f t="shared" si="53"/>
        <v>47.126089860514284</v>
      </c>
      <c r="AJ90" s="128">
        <f t="shared" si="54"/>
        <v>3227.6292075377414</v>
      </c>
      <c r="AK90" s="161">
        <f t="shared" si="55"/>
        <v>267.73210787218937</v>
      </c>
    </row>
    <row r="91" spans="1:37" x14ac:dyDescent="0.2">
      <c r="A91" s="142"/>
      <c r="B91" s="143"/>
      <c r="C91" s="144"/>
      <c r="D91" s="144"/>
      <c r="E91" s="144"/>
      <c r="F91" s="143"/>
      <c r="G91" s="145"/>
      <c r="H91" s="146"/>
      <c r="I91" s="147"/>
      <c r="J91" s="148"/>
      <c r="K91" s="149"/>
      <c r="L91" s="149"/>
      <c r="M91" s="150"/>
      <c r="N91" s="151"/>
      <c r="O91" s="152"/>
      <c r="P91" s="152"/>
      <c r="Q91" s="153"/>
      <c r="R91" s="154"/>
      <c r="S91" s="155"/>
      <c r="T91" s="155"/>
      <c r="U91" s="156"/>
      <c r="V91" s="157"/>
      <c r="W91" s="154"/>
      <c r="X91" s="123">
        <f t="shared" si="44"/>
        <v>0</v>
      </c>
      <c r="Y91" s="123">
        <f t="shared" si="45"/>
        <v>0</v>
      </c>
      <c r="Z91" s="158"/>
      <c r="AA91" s="159"/>
      <c r="AB91" s="159"/>
      <c r="AC91" s="123">
        <f t="shared" si="48"/>
        <v>0</v>
      </c>
      <c r="AD91" s="154"/>
      <c r="AE91" s="154"/>
      <c r="AF91" s="154"/>
      <c r="AG91" s="154"/>
      <c r="AH91" s="160"/>
      <c r="AI91" s="160"/>
      <c r="AJ91" s="128">
        <f t="shared" si="54"/>
        <v>0</v>
      </c>
      <c r="AK91" s="161"/>
    </row>
    <row r="92" spans="1:37" ht="15" x14ac:dyDescent="0.25">
      <c r="A92" s="162" t="s">
        <v>55</v>
      </c>
      <c r="B92" s="163"/>
      <c r="C92" s="164"/>
      <c r="D92" s="164"/>
      <c r="E92" s="164"/>
      <c r="F92" s="163"/>
      <c r="G92" s="165"/>
      <c r="H92" s="166"/>
      <c r="I92" s="167"/>
      <c r="J92" s="148"/>
      <c r="K92" s="149"/>
      <c r="L92" s="149"/>
      <c r="M92" s="150"/>
      <c r="N92" s="151"/>
      <c r="O92" s="152"/>
      <c r="P92" s="152"/>
      <c r="Q92" s="153"/>
      <c r="R92" s="154"/>
      <c r="S92" s="155"/>
      <c r="T92" s="155"/>
      <c r="U92" s="156"/>
      <c r="V92" s="157"/>
      <c r="W92" s="154"/>
      <c r="X92" s="123">
        <f t="shared" si="44"/>
        <v>0</v>
      </c>
      <c r="Y92" s="123">
        <f t="shared" si="45"/>
        <v>0</v>
      </c>
      <c r="Z92" s="158"/>
      <c r="AA92" s="159"/>
      <c r="AB92" s="159"/>
      <c r="AC92" s="123">
        <f t="shared" si="48"/>
        <v>0</v>
      </c>
      <c r="AD92" s="154"/>
      <c r="AE92" s="154"/>
      <c r="AF92" s="154"/>
      <c r="AG92" s="154"/>
      <c r="AH92" s="160"/>
      <c r="AI92" s="160"/>
      <c r="AJ92" s="128">
        <f t="shared" si="54"/>
        <v>0</v>
      </c>
      <c r="AK92" s="161"/>
    </row>
    <row r="93" spans="1:37" x14ac:dyDescent="0.2">
      <c r="A93" s="22" t="s">
        <v>136</v>
      </c>
      <c r="B93" s="23" t="s">
        <v>42</v>
      </c>
      <c r="C93" s="5" t="s">
        <v>75</v>
      </c>
      <c r="D93" s="5" t="s">
        <v>65</v>
      </c>
      <c r="E93" s="5" t="s">
        <v>63</v>
      </c>
      <c r="F93" s="23" t="s">
        <v>43</v>
      </c>
      <c r="G93" s="24">
        <v>2.9</v>
      </c>
      <c r="H93" s="25">
        <v>525</v>
      </c>
      <c r="I93" s="8">
        <v>14</v>
      </c>
      <c r="J93" s="35">
        <v>7350</v>
      </c>
      <c r="K93" s="35">
        <f t="shared" si="37"/>
        <v>21315</v>
      </c>
      <c r="L93" s="35">
        <f t="shared" si="38"/>
        <v>21595</v>
      </c>
      <c r="M93" s="26">
        <v>363</v>
      </c>
      <c r="N93" s="50">
        <f t="shared" si="39"/>
        <v>2668.05</v>
      </c>
      <c r="O93" s="113">
        <f t="shared" si="40"/>
        <v>0</v>
      </c>
      <c r="P93" s="113">
        <f t="shared" si="41"/>
        <v>0</v>
      </c>
      <c r="Q93" s="114">
        <f t="shared" si="42"/>
        <v>0</v>
      </c>
      <c r="R93" s="123">
        <f>N93/K93*$N$1</f>
        <v>0.1664793103448276</v>
      </c>
      <c r="S93" s="124">
        <v>0.16</v>
      </c>
      <c r="T93" s="124"/>
      <c r="U93" s="125">
        <f>N93</f>
        <v>2668.05</v>
      </c>
      <c r="V93" s="126">
        <f t="shared" si="43"/>
        <v>1373</v>
      </c>
      <c r="W93" s="115">
        <f>$W$7/N$2</f>
        <v>12.863390789812195</v>
      </c>
      <c r="X93" s="123">
        <f t="shared" si="44"/>
        <v>533.61</v>
      </c>
      <c r="Y93" s="123">
        <f t="shared" si="45"/>
        <v>576.29880000000003</v>
      </c>
      <c r="Z93" s="127">
        <f>$Z$7/$N$2</f>
        <v>231.54103421661952</v>
      </c>
      <c r="AA93" s="128">
        <f t="shared" si="46"/>
        <v>41.67738615899151</v>
      </c>
      <c r="AB93" s="128">
        <f t="shared" si="47"/>
        <v>617.9761861589916</v>
      </c>
      <c r="AC93" s="123">
        <f t="shared" si="48"/>
        <v>4819.0644250064315</v>
      </c>
      <c r="AD93" s="129">
        <f t="shared" si="49"/>
        <v>96.381288500128633</v>
      </c>
      <c r="AE93" s="129">
        <f t="shared" si="50"/>
        <v>4915.4457135065604</v>
      </c>
      <c r="AF93" s="129">
        <f t="shared" si="51"/>
        <v>884.78022843118083</v>
      </c>
      <c r="AG93" s="129">
        <f t="shared" si="52"/>
        <v>5800.2259419377415</v>
      </c>
      <c r="AH93" s="130">
        <f>AG93/J93</f>
        <v>0.78914638665819614</v>
      </c>
      <c r="AI93" s="130">
        <f t="shared" si="53"/>
        <v>30.674120049404081</v>
      </c>
      <c r="AJ93" s="128">
        <f t="shared" si="54"/>
        <v>3132.1759419377413</v>
      </c>
      <c r="AK93" s="161">
        <f t="shared" si="55"/>
        <v>266.80404227218929</v>
      </c>
    </row>
    <row r="94" spans="1:37" x14ac:dyDescent="0.2">
      <c r="A94" s="22" t="s">
        <v>137</v>
      </c>
      <c r="B94" s="23" t="s">
        <v>42</v>
      </c>
      <c r="C94" s="5" t="s">
        <v>76</v>
      </c>
      <c r="D94" s="5" t="s">
        <v>65</v>
      </c>
      <c r="E94" s="5" t="s">
        <v>63</v>
      </c>
      <c r="F94" s="23" t="s">
        <v>43</v>
      </c>
      <c r="G94" s="24">
        <v>2.9</v>
      </c>
      <c r="H94" s="25">
        <v>525</v>
      </c>
      <c r="I94" s="8">
        <v>14</v>
      </c>
      <c r="J94" s="35">
        <v>7350</v>
      </c>
      <c r="K94" s="35">
        <f t="shared" si="37"/>
        <v>21315</v>
      </c>
      <c r="L94" s="35">
        <f t="shared" si="38"/>
        <v>21595</v>
      </c>
      <c r="M94" s="26">
        <v>388</v>
      </c>
      <c r="N94" s="50">
        <f t="shared" si="39"/>
        <v>2851.8</v>
      </c>
      <c r="O94" s="113">
        <f t="shared" si="40"/>
        <v>0</v>
      </c>
      <c r="P94" s="113">
        <f t="shared" si="41"/>
        <v>0</v>
      </c>
      <c r="Q94" s="114">
        <f t="shared" si="42"/>
        <v>0</v>
      </c>
      <c r="R94" s="123">
        <f>N94/K94*$N$1</f>
        <v>0.17794482758620689</v>
      </c>
      <c r="S94" s="124">
        <v>0.16</v>
      </c>
      <c r="T94" s="124"/>
      <c r="U94" s="125">
        <f>N94</f>
        <v>2851.8</v>
      </c>
      <c r="V94" s="126">
        <f t="shared" si="43"/>
        <v>1373</v>
      </c>
      <c r="W94" s="115">
        <f>$W$7/N$2</f>
        <v>12.863390789812195</v>
      </c>
      <c r="X94" s="123">
        <f t="shared" si="44"/>
        <v>570.36</v>
      </c>
      <c r="Y94" s="123">
        <f t="shared" si="45"/>
        <v>615.98880000000008</v>
      </c>
      <c r="Z94" s="127">
        <f>$Z$7/$N$2</f>
        <v>231.54103421661952</v>
      </c>
      <c r="AA94" s="128">
        <f t="shared" si="46"/>
        <v>41.67738615899151</v>
      </c>
      <c r="AB94" s="128">
        <f t="shared" si="47"/>
        <v>657.66618615899165</v>
      </c>
      <c r="AC94" s="123">
        <f t="shared" si="48"/>
        <v>5039.5644250064315</v>
      </c>
      <c r="AD94" s="129">
        <f t="shared" si="49"/>
        <v>100.79128850012863</v>
      </c>
      <c r="AE94" s="129">
        <f t="shared" si="50"/>
        <v>5140.3557135065603</v>
      </c>
      <c r="AF94" s="129">
        <f t="shared" si="51"/>
        <v>925.2640284311808</v>
      </c>
      <c r="AG94" s="129">
        <f t="shared" si="52"/>
        <v>6065.6197419377413</v>
      </c>
      <c r="AH94" s="130">
        <f>AG94/J94</f>
        <v>0.82525438665819606</v>
      </c>
      <c r="AI94" s="130">
        <f t="shared" si="53"/>
        <v>32.077638009404076</v>
      </c>
      <c r="AJ94" s="128">
        <f t="shared" si="54"/>
        <v>3213.8197419377411</v>
      </c>
      <c r="AK94" s="161">
        <f t="shared" si="55"/>
        <v>267.59784227218921</v>
      </c>
    </row>
    <row r="95" spans="1:37" x14ac:dyDescent="0.2">
      <c r="A95" s="22" t="s">
        <v>138</v>
      </c>
      <c r="B95" s="23" t="s">
        <v>44</v>
      </c>
      <c r="C95" s="5" t="s">
        <v>77</v>
      </c>
      <c r="D95" s="5" t="s">
        <v>65</v>
      </c>
      <c r="E95" s="5" t="s">
        <v>63</v>
      </c>
      <c r="F95" s="23"/>
      <c r="G95" s="24">
        <v>0.52</v>
      </c>
      <c r="H95" s="25">
        <v>2560</v>
      </c>
      <c r="I95" s="8">
        <v>16</v>
      </c>
      <c r="J95" s="35">
        <v>40960</v>
      </c>
      <c r="K95" s="35">
        <f t="shared" si="37"/>
        <v>21299.200000000001</v>
      </c>
      <c r="L95" s="35">
        <f t="shared" si="38"/>
        <v>21619.200000000001</v>
      </c>
      <c r="M95" s="26">
        <v>72</v>
      </c>
      <c r="N95" s="50">
        <f t="shared" si="39"/>
        <v>2949.12</v>
      </c>
      <c r="O95" s="113">
        <f t="shared" si="40"/>
        <v>0</v>
      </c>
      <c r="P95" s="113">
        <f t="shared" si="41"/>
        <v>0</v>
      </c>
      <c r="Q95" s="114">
        <f t="shared" si="42"/>
        <v>0</v>
      </c>
      <c r="R95" s="123">
        <f>N95/K95*$N$1</f>
        <v>0.18415384615384614</v>
      </c>
      <c r="S95" s="124">
        <v>0.16</v>
      </c>
      <c r="T95" s="124"/>
      <c r="U95" s="125">
        <f>N95</f>
        <v>2949.12</v>
      </c>
      <c r="V95" s="126">
        <f t="shared" si="43"/>
        <v>1373</v>
      </c>
      <c r="W95" s="115">
        <f>$W$7/N$2</f>
        <v>12.863390789812195</v>
      </c>
      <c r="X95" s="123">
        <f t="shared" si="44"/>
        <v>589.82399999999996</v>
      </c>
      <c r="Y95" s="123">
        <f t="shared" si="45"/>
        <v>637.00991999999997</v>
      </c>
      <c r="Z95" s="127">
        <f>$Z$7/$N$2</f>
        <v>231.54103421661952</v>
      </c>
      <c r="AA95" s="128">
        <f t="shared" si="46"/>
        <v>41.67738615899151</v>
      </c>
      <c r="AB95" s="128">
        <f t="shared" si="47"/>
        <v>678.68730615899153</v>
      </c>
      <c r="AC95" s="123">
        <f t="shared" si="48"/>
        <v>5156.3484250064312</v>
      </c>
      <c r="AD95" s="129">
        <f t="shared" si="49"/>
        <v>103.12696850012863</v>
      </c>
      <c r="AE95" s="129">
        <f t="shared" si="50"/>
        <v>5259.4753935065601</v>
      </c>
      <c r="AF95" s="129">
        <f t="shared" si="51"/>
        <v>946.70557083118081</v>
      </c>
      <c r="AG95" s="129">
        <f t="shared" si="52"/>
        <v>6206.180964337741</v>
      </c>
      <c r="AH95" s="130">
        <f>AG95/J95</f>
        <v>0.15151808994965188</v>
      </c>
      <c r="AI95" s="130">
        <f t="shared" si="53"/>
        <v>5.8895081563429681</v>
      </c>
      <c r="AJ95" s="128">
        <f t="shared" si="54"/>
        <v>3257.0609643377411</v>
      </c>
      <c r="AK95" s="161">
        <f t="shared" si="55"/>
        <v>268.01826467218933</v>
      </c>
    </row>
    <row r="96" spans="1:37" x14ac:dyDescent="0.2">
      <c r="A96" s="22" t="s">
        <v>139</v>
      </c>
      <c r="B96" s="23" t="s">
        <v>42</v>
      </c>
      <c r="C96" s="5" t="s">
        <v>75</v>
      </c>
      <c r="D96" s="5" t="s">
        <v>59</v>
      </c>
      <c r="E96" s="5" t="s">
        <v>63</v>
      </c>
      <c r="F96" s="23" t="s">
        <v>43</v>
      </c>
      <c r="G96" s="24">
        <v>2.9</v>
      </c>
      <c r="H96" s="25">
        <v>525</v>
      </c>
      <c r="I96" s="8">
        <v>14</v>
      </c>
      <c r="J96" s="35">
        <v>7350</v>
      </c>
      <c r="K96" s="35">
        <f t="shared" si="37"/>
        <v>21315</v>
      </c>
      <c r="L96" s="35">
        <f t="shared" si="38"/>
        <v>21595</v>
      </c>
      <c r="M96" s="26">
        <v>408</v>
      </c>
      <c r="N96" s="50">
        <f t="shared" si="39"/>
        <v>2998.8</v>
      </c>
      <c r="O96" s="113">
        <f t="shared" si="40"/>
        <v>0</v>
      </c>
      <c r="P96" s="113">
        <f t="shared" si="41"/>
        <v>0</v>
      </c>
      <c r="Q96" s="114">
        <f t="shared" si="42"/>
        <v>0</v>
      </c>
      <c r="R96" s="123">
        <f>N96/K96*$N$1</f>
        <v>0.18711724137931038</v>
      </c>
      <c r="S96" s="124">
        <v>0.16</v>
      </c>
      <c r="T96" s="124"/>
      <c r="U96" s="125">
        <f>N96</f>
        <v>2998.8</v>
      </c>
      <c r="V96" s="126">
        <f t="shared" si="43"/>
        <v>1373</v>
      </c>
      <c r="W96" s="115">
        <f>$W$7/N$2</f>
        <v>12.863390789812195</v>
      </c>
      <c r="X96" s="123">
        <f t="shared" si="44"/>
        <v>599.7600000000001</v>
      </c>
      <c r="Y96" s="123">
        <f t="shared" si="45"/>
        <v>647.74080000000004</v>
      </c>
      <c r="Z96" s="127">
        <f>$Z$7/$N$2</f>
        <v>231.54103421661952</v>
      </c>
      <c r="AA96" s="128">
        <f t="shared" si="46"/>
        <v>41.67738615899151</v>
      </c>
      <c r="AB96" s="128">
        <f t="shared" si="47"/>
        <v>689.4181861589916</v>
      </c>
      <c r="AC96" s="123">
        <f t="shared" si="48"/>
        <v>5215.9644250064321</v>
      </c>
      <c r="AD96" s="129">
        <f t="shared" si="49"/>
        <v>104.31928850012865</v>
      </c>
      <c r="AE96" s="129">
        <f t="shared" si="50"/>
        <v>5320.2837135065611</v>
      </c>
      <c r="AF96" s="129">
        <f t="shared" si="51"/>
        <v>957.65106843118099</v>
      </c>
      <c r="AG96" s="129">
        <f t="shared" si="52"/>
        <v>6277.9347819377417</v>
      </c>
      <c r="AH96" s="130">
        <f>AG96/J96</f>
        <v>0.85414078665819615</v>
      </c>
      <c r="AI96" s="130">
        <f t="shared" si="53"/>
        <v>33.200452377404083</v>
      </c>
      <c r="AJ96" s="128">
        <f t="shared" si="54"/>
        <v>3279.1347819377415</v>
      </c>
      <c r="AK96" s="161">
        <f t="shared" si="55"/>
        <v>268.23288227218944</v>
      </c>
    </row>
    <row r="97" spans="1:37" x14ac:dyDescent="0.2">
      <c r="A97" s="22" t="s">
        <v>140</v>
      </c>
      <c r="B97" s="23" t="s">
        <v>42</v>
      </c>
      <c r="C97" s="5" t="s">
        <v>76</v>
      </c>
      <c r="D97" s="5" t="s">
        <v>59</v>
      </c>
      <c r="E97" s="5" t="s">
        <v>63</v>
      </c>
      <c r="F97" s="23" t="s">
        <v>43</v>
      </c>
      <c r="G97" s="24">
        <v>2.9</v>
      </c>
      <c r="H97" s="25">
        <v>525</v>
      </c>
      <c r="I97" s="8">
        <v>14</v>
      </c>
      <c r="J97" s="35">
        <v>7350</v>
      </c>
      <c r="K97" s="35">
        <f t="shared" si="37"/>
        <v>21315</v>
      </c>
      <c r="L97" s="35">
        <f t="shared" si="38"/>
        <v>21595</v>
      </c>
      <c r="M97" s="26">
        <v>439</v>
      </c>
      <c r="N97" s="50">
        <f t="shared" si="39"/>
        <v>3226.65</v>
      </c>
      <c r="O97" s="113">
        <f t="shared" si="40"/>
        <v>0</v>
      </c>
      <c r="P97" s="113">
        <f t="shared" si="41"/>
        <v>0</v>
      </c>
      <c r="Q97" s="114">
        <f t="shared" si="42"/>
        <v>0</v>
      </c>
      <c r="R97" s="123">
        <f>N97/K97*$N$1</f>
        <v>0.20133448275862073</v>
      </c>
      <c r="S97" s="124">
        <v>0.16</v>
      </c>
      <c r="T97" s="124"/>
      <c r="U97" s="125">
        <f>N97</f>
        <v>3226.65</v>
      </c>
      <c r="V97" s="126">
        <f t="shared" si="43"/>
        <v>1373</v>
      </c>
      <c r="W97" s="115">
        <f>$W$7/N$2</f>
        <v>12.863390789812195</v>
      </c>
      <c r="X97" s="123">
        <f t="shared" si="44"/>
        <v>645.33000000000004</v>
      </c>
      <c r="Y97" s="123">
        <f t="shared" si="45"/>
        <v>696.95640000000003</v>
      </c>
      <c r="Z97" s="127">
        <f>$Z$7/$N$2</f>
        <v>231.54103421661952</v>
      </c>
      <c r="AA97" s="128">
        <f t="shared" si="46"/>
        <v>41.67738615899151</v>
      </c>
      <c r="AB97" s="128">
        <f t="shared" si="47"/>
        <v>738.6337861589916</v>
      </c>
      <c r="AC97" s="123">
        <f t="shared" si="48"/>
        <v>5489.3844250064312</v>
      </c>
      <c r="AD97" s="129">
        <f t="shared" si="49"/>
        <v>109.78768850012862</v>
      </c>
      <c r="AE97" s="129">
        <f t="shared" si="50"/>
        <v>5599.17211350656</v>
      </c>
      <c r="AF97" s="129">
        <f t="shared" si="51"/>
        <v>1007.8509804311808</v>
      </c>
      <c r="AG97" s="129">
        <f t="shared" si="52"/>
        <v>6607.0230939377407</v>
      </c>
      <c r="AH97" s="130">
        <f>AG97/J97</f>
        <v>0.89891470665819606</v>
      </c>
      <c r="AI97" s="130">
        <f t="shared" si="53"/>
        <v>34.940814647804082</v>
      </c>
      <c r="AJ97" s="128">
        <f t="shared" si="54"/>
        <v>3380.3730939377406</v>
      </c>
      <c r="AK97" s="161">
        <f t="shared" si="55"/>
        <v>269.21719427218926</v>
      </c>
    </row>
    <row r="98" spans="1:37" x14ac:dyDescent="0.2">
      <c r="A98" s="22"/>
      <c r="B98" s="23"/>
      <c r="C98" s="5"/>
      <c r="D98" s="5"/>
      <c r="E98" s="5"/>
      <c r="F98" s="23"/>
      <c r="G98" s="24"/>
      <c r="H98" s="25"/>
      <c r="I98" s="8"/>
      <c r="J98" s="35"/>
      <c r="K98" s="35"/>
      <c r="L98" s="35"/>
      <c r="M98" s="29"/>
      <c r="N98" s="50"/>
      <c r="O98" s="113"/>
      <c r="P98" s="113"/>
      <c r="Q98" s="114"/>
      <c r="R98" s="123"/>
      <c r="S98" s="124"/>
      <c r="T98" s="124"/>
      <c r="U98" s="125"/>
      <c r="V98" s="126"/>
      <c r="W98" s="115"/>
      <c r="X98" s="123"/>
      <c r="Y98" s="123"/>
      <c r="Z98" s="127"/>
      <c r="AA98" s="128"/>
      <c r="AB98" s="128"/>
      <c r="AC98" s="123"/>
      <c r="AD98" s="129"/>
      <c r="AE98" s="129"/>
      <c r="AF98" s="129"/>
      <c r="AG98" s="129"/>
      <c r="AH98" s="130"/>
      <c r="AI98" s="130"/>
      <c r="AJ98" s="128"/>
      <c r="AK98" s="122"/>
    </row>
    <row r="99" spans="1:37" ht="0.75" customHeight="1" x14ac:dyDescent="0.25">
      <c r="A99" s="15" t="s">
        <v>165</v>
      </c>
      <c r="B99" s="16"/>
      <c r="C99" s="17"/>
      <c r="D99" s="17"/>
      <c r="E99" s="17"/>
      <c r="F99" s="16"/>
      <c r="G99" s="18"/>
      <c r="H99" s="19"/>
      <c r="I99" s="32"/>
      <c r="J99" s="36"/>
      <c r="K99" s="35">
        <f t="shared" si="37"/>
        <v>0</v>
      </c>
      <c r="L99" s="35">
        <f t="shared" si="38"/>
        <v>0</v>
      </c>
      <c r="M99" s="28"/>
      <c r="N99" s="50">
        <f t="shared" ref="N99:N105" si="61">J99*M99/1000</f>
        <v>0</v>
      </c>
      <c r="O99" s="113">
        <f>$O$7</f>
        <v>0</v>
      </c>
      <c r="P99" s="113">
        <f>$P$7</f>
        <v>0</v>
      </c>
      <c r="Q99" s="114">
        <f>O99+P99</f>
        <v>0</v>
      </c>
      <c r="R99" s="123" t="e">
        <f>N99/K99*$K$1</f>
        <v>#DIV/0!</v>
      </c>
      <c r="S99" s="124">
        <v>0.16</v>
      </c>
      <c r="T99" s="124"/>
      <c r="U99" s="125" t="e">
        <f>#REF!+Q99</f>
        <v>#REF!</v>
      </c>
      <c r="V99" s="126">
        <f t="shared" si="43"/>
        <v>1373</v>
      </c>
      <c r="W99" s="115" t="e">
        <f>$W$7/$K$2</f>
        <v>#DIV/0!</v>
      </c>
      <c r="X99" s="123" t="e">
        <f>#REF!*0.2</f>
        <v>#REF!</v>
      </c>
      <c r="Y99" s="123" t="e">
        <f>(#REF!+X99)*0.18</f>
        <v>#REF!</v>
      </c>
      <c r="Z99" s="127" t="e">
        <f>$Z$7/$K$2</f>
        <v>#DIV/0!</v>
      </c>
      <c r="AA99" s="128" t="e">
        <f t="shared" si="46"/>
        <v>#DIV/0!</v>
      </c>
      <c r="AB99" s="128" t="e">
        <f t="shared" si="47"/>
        <v>#REF!</v>
      </c>
      <c r="AC99" s="123" t="e">
        <f>U99+V99+W99+X99+Z99</f>
        <v>#REF!</v>
      </c>
      <c r="AD99" s="129" t="e">
        <f t="shared" si="49"/>
        <v>#REF!</v>
      </c>
      <c r="AE99" s="129" t="e">
        <f t="shared" si="50"/>
        <v>#REF!</v>
      </c>
      <c r="AF99" s="129" t="e">
        <f t="shared" si="51"/>
        <v>#REF!</v>
      </c>
      <c r="AG99" s="129" t="e">
        <f t="shared" si="52"/>
        <v>#REF!</v>
      </c>
      <c r="AH99" s="130" t="e">
        <f>AG99/J99</f>
        <v>#REF!</v>
      </c>
      <c r="AI99" s="130"/>
      <c r="AJ99" s="128" t="e">
        <f>AG99-#REF!</f>
        <v>#REF!</v>
      </c>
      <c r="AK99" s="122" t="e">
        <f t="shared" si="55"/>
        <v>#REF!</v>
      </c>
    </row>
    <row r="100" spans="1:37" hidden="1" x14ac:dyDescent="0.2">
      <c r="A100" s="22" t="s">
        <v>147</v>
      </c>
      <c r="B100" s="23" t="s">
        <v>148</v>
      </c>
      <c r="C100" s="5" t="s">
        <v>149</v>
      </c>
      <c r="D100" s="5" t="s">
        <v>56</v>
      </c>
      <c r="E100" s="5" t="s">
        <v>63</v>
      </c>
      <c r="F100" s="23" t="s">
        <v>150</v>
      </c>
      <c r="G100" s="33">
        <v>18.5</v>
      </c>
      <c r="H100" s="34">
        <v>45</v>
      </c>
      <c r="I100" s="8">
        <v>24</v>
      </c>
      <c r="J100" s="35">
        <v>1080</v>
      </c>
      <c r="K100" s="35">
        <f t="shared" si="37"/>
        <v>19980</v>
      </c>
      <c r="L100" s="35">
        <f t="shared" si="38"/>
        <v>20460</v>
      </c>
      <c r="M100" s="26">
        <v>1180</v>
      </c>
      <c r="N100" s="50"/>
      <c r="O100" s="113"/>
      <c r="P100" s="113"/>
      <c r="Q100" s="114"/>
      <c r="R100" s="123"/>
      <c r="S100" s="124"/>
      <c r="T100" s="124"/>
      <c r="U100" s="125"/>
      <c r="V100" s="126"/>
      <c r="W100" s="115"/>
      <c r="X100" s="123"/>
      <c r="Y100" s="123"/>
      <c r="Z100" s="127"/>
      <c r="AA100" s="128"/>
      <c r="AB100" s="128"/>
      <c r="AC100" s="123"/>
      <c r="AD100" s="129"/>
      <c r="AE100" s="129"/>
      <c r="AF100" s="129"/>
      <c r="AG100" s="129"/>
      <c r="AH100" s="130"/>
      <c r="AI100" s="130"/>
      <c r="AJ100" s="128"/>
      <c r="AK100" s="122"/>
    </row>
    <row r="101" spans="1:37" hidden="1" x14ac:dyDescent="0.2">
      <c r="A101" s="22" t="s">
        <v>173</v>
      </c>
      <c r="B101" s="23" t="s">
        <v>174</v>
      </c>
      <c r="C101" s="5" t="s">
        <v>175</v>
      </c>
      <c r="D101" s="5" t="s">
        <v>56</v>
      </c>
      <c r="E101" s="5" t="s">
        <v>63</v>
      </c>
      <c r="F101" s="23" t="s">
        <v>176</v>
      </c>
      <c r="G101" s="33">
        <v>23.5</v>
      </c>
      <c r="H101" s="34">
        <v>30</v>
      </c>
      <c r="I101" s="8">
        <v>27</v>
      </c>
      <c r="J101" s="35">
        <v>810</v>
      </c>
      <c r="K101" s="35">
        <f t="shared" si="37"/>
        <v>19035</v>
      </c>
      <c r="L101" s="35">
        <f t="shared" si="38"/>
        <v>19575</v>
      </c>
      <c r="M101" s="26">
        <v>1117</v>
      </c>
      <c r="N101" s="50"/>
      <c r="O101" s="113"/>
      <c r="P101" s="113"/>
      <c r="Q101" s="114"/>
      <c r="R101" s="123"/>
      <c r="S101" s="124"/>
      <c r="T101" s="124"/>
      <c r="U101" s="125"/>
      <c r="V101" s="126"/>
      <c r="W101" s="115"/>
      <c r="X101" s="123"/>
      <c r="Y101" s="123"/>
      <c r="Z101" s="127"/>
      <c r="AA101" s="128"/>
      <c r="AB101" s="128"/>
      <c r="AC101" s="123"/>
      <c r="AD101" s="129"/>
      <c r="AE101" s="129"/>
      <c r="AF101" s="129"/>
      <c r="AG101" s="129"/>
      <c r="AH101" s="130"/>
      <c r="AI101" s="130"/>
      <c r="AJ101" s="128"/>
      <c r="AK101" s="122"/>
    </row>
    <row r="102" spans="1:37" hidden="1" x14ac:dyDescent="0.2">
      <c r="A102" s="22" t="s">
        <v>151</v>
      </c>
      <c r="B102" s="23" t="s">
        <v>152</v>
      </c>
      <c r="C102" s="5" t="s">
        <v>153</v>
      </c>
      <c r="D102" s="5" t="s">
        <v>56</v>
      </c>
      <c r="E102" s="5" t="s">
        <v>63</v>
      </c>
      <c r="F102" s="23" t="s">
        <v>150</v>
      </c>
      <c r="G102" s="33">
        <v>12</v>
      </c>
      <c r="H102" s="34">
        <v>81</v>
      </c>
      <c r="I102" s="8">
        <v>22</v>
      </c>
      <c r="J102" s="35">
        <v>1782</v>
      </c>
      <c r="K102" s="35">
        <f t="shared" si="37"/>
        <v>21384</v>
      </c>
      <c r="L102" s="35">
        <f t="shared" si="38"/>
        <v>21824</v>
      </c>
      <c r="M102" s="26">
        <v>946</v>
      </c>
      <c r="N102" s="50">
        <f t="shared" si="61"/>
        <v>1685.7719999999999</v>
      </c>
      <c r="O102" s="113">
        <f t="shared" ref="O102:O107" si="62">$O$7</f>
        <v>0</v>
      </c>
      <c r="P102" s="113">
        <f t="shared" ref="P102:P107" si="63">$P$7</f>
        <v>0</v>
      </c>
      <c r="Q102" s="114">
        <f t="shared" ref="Q102:Q107" si="64">O102+P102</f>
        <v>0</v>
      </c>
      <c r="R102" s="123">
        <f t="shared" ref="R102:R107" si="65">N102/K102*$K$1</f>
        <v>0</v>
      </c>
      <c r="S102" s="124">
        <v>0.16</v>
      </c>
      <c r="T102" s="124"/>
      <c r="U102" s="125" t="e">
        <f>#REF!+Q102</f>
        <v>#REF!</v>
      </c>
      <c r="V102" s="126">
        <f t="shared" si="43"/>
        <v>1373</v>
      </c>
      <c r="W102" s="115" t="e">
        <f t="shared" ref="W102:W107" si="66">$W$7/$K$2</f>
        <v>#DIV/0!</v>
      </c>
      <c r="X102" s="123" t="e">
        <f>#REF!*0.2</f>
        <v>#REF!</v>
      </c>
      <c r="Y102" s="123" t="e">
        <f>(#REF!+X102)*0.18</f>
        <v>#REF!</v>
      </c>
      <c r="Z102" s="127" t="e">
        <f t="shared" ref="Z102:Z107" si="67">$Z$7/$K$2</f>
        <v>#DIV/0!</v>
      </c>
      <c r="AA102" s="128" t="e">
        <f t="shared" si="46"/>
        <v>#DIV/0!</v>
      </c>
      <c r="AB102" s="128" t="e">
        <f t="shared" si="47"/>
        <v>#REF!</v>
      </c>
      <c r="AC102" s="123" t="e">
        <f t="shared" ref="AC102:AC107" si="68">U102+V102+W102+X102+Z102</f>
        <v>#REF!</v>
      </c>
      <c r="AD102" s="129" t="e">
        <f t="shared" si="49"/>
        <v>#REF!</v>
      </c>
      <c r="AE102" s="129" t="e">
        <f t="shared" si="50"/>
        <v>#REF!</v>
      </c>
      <c r="AF102" s="129" t="e">
        <f t="shared" si="51"/>
        <v>#REF!</v>
      </c>
      <c r="AG102" s="129" t="e">
        <f t="shared" si="52"/>
        <v>#REF!</v>
      </c>
      <c r="AH102" s="130" t="e">
        <f t="shared" ref="AH102:AH107" si="69">AG102/J102</f>
        <v>#REF!</v>
      </c>
      <c r="AI102" s="130"/>
      <c r="AJ102" s="128" t="e">
        <f>AG102-#REF!</f>
        <v>#REF!</v>
      </c>
      <c r="AK102" s="122" t="e">
        <f t="shared" si="55"/>
        <v>#REF!</v>
      </c>
    </row>
    <row r="103" spans="1:37" hidden="1" x14ac:dyDescent="0.2">
      <c r="A103" s="22" t="s">
        <v>154</v>
      </c>
      <c r="B103" s="23" t="s">
        <v>155</v>
      </c>
      <c r="C103" s="5" t="s">
        <v>156</v>
      </c>
      <c r="D103" s="5" t="s">
        <v>56</v>
      </c>
      <c r="E103" s="5" t="s">
        <v>63</v>
      </c>
      <c r="F103" s="23" t="s">
        <v>150</v>
      </c>
      <c r="G103" s="33">
        <v>15</v>
      </c>
      <c r="H103" s="34">
        <v>63</v>
      </c>
      <c r="I103" s="8">
        <v>22</v>
      </c>
      <c r="J103" s="35">
        <v>1386</v>
      </c>
      <c r="K103" s="35">
        <f t="shared" si="37"/>
        <v>20790</v>
      </c>
      <c r="L103" s="35">
        <f t="shared" si="38"/>
        <v>21230</v>
      </c>
      <c r="M103" s="26">
        <v>1497</v>
      </c>
      <c r="N103" s="50">
        <f t="shared" si="61"/>
        <v>2074.8420000000001</v>
      </c>
      <c r="O103" s="113">
        <f t="shared" si="62"/>
        <v>0</v>
      </c>
      <c r="P103" s="113">
        <f t="shared" si="63"/>
        <v>0</v>
      </c>
      <c r="Q103" s="114">
        <f t="shared" si="64"/>
        <v>0</v>
      </c>
      <c r="R103" s="123">
        <f t="shared" si="65"/>
        <v>0</v>
      </c>
      <c r="S103" s="124">
        <v>0.16</v>
      </c>
      <c r="T103" s="124"/>
      <c r="U103" s="125" t="e">
        <f>#REF!+Q103</f>
        <v>#REF!</v>
      </c>
      <c r="V103" s="126">
        <f t="shared" si="43"/>
        <v>1373</v>
      </c>
      <c r="W103" s="115" t="e">
        <f t="shared" si="66"/>
        <v>#DIV/0!</v>
      </c>
      <c r="X103" s="123" t="e">
        <f>#REF!*0.2</f>
        <v>#REF!</v>
      </c>
      <c r="Y103" s="123" t="e">
        <f>(#REF!+X103)*0.18</f>
        <v>#REF!</v>
      </c>
      <c r="Z103" s="127" t="e">
        <f t="shared" si="67"/>
        <v>#DIV/0!</v>
      </c>
      <c r="AA103" s="128" t="e">
        <f t="shared" si="46"/>
        <v>#DIV/0!</v>
      </c>
      <c r="AB103" s="128" t="e">
        <f t="shared" si="47"/>
        <v>#REF!</v>
      </c>
      <c r="AC103" s="123" t="e">
        <f t="shared" si="68"/>
        <v>#REF!</v>
      </c>
      <c r="AD103" s="129" t="e">
        <f t="shared" si="49"/>
        <v>#REF!</v>
      </c>
      <c r="AE103" s="129" t="e">
        <f t="shared" si="50"/>
        <v>#REF!</v>
      </c>
      <c r="AF103" s="129" t="e">
        <f t="shared" si="51"/>
        <v>#REF!</v>
      </c>
      <c r="AG103" s="129" t="e">
        <f t="shared" si="52"/>
        <v>#REF!</v>
      </c>
      <c r="AH103" s="130" t="e">
        <f t="shared" si="69"/>
        <v>#REF!</v>
      </c>
      <c r="AI103" s="130"/>
      <c r="AJ103" s="128" t="e">
        <f>AG103-#REF!</f>
        <v>#REF!</v>
      </c>
      <c r="AK103" s="122" t="e">
        <f t="shared" si="55"/>
        <v>#REF!</v>
      </c>
    </row>
    <row r="104" spans="1:37" hidden="1" x14ac:dyDescent="0.2">
      <c r="A104" s="22" t="s">
        <v>166</v>
      </c>
      <c r="B104" s="23" t="s">
        <v>157</v>
      </c>
      <c r="C104" s="5" t="s">
        <v>158</v>
      </c>
      <c r="D104" s="5" t="s">
        <v>56</v>
      </c>
      <c r="E104" s="5" t="s">
        <v>63</v>
      </c>
      <c r="F104" s="23" t="s">
        <v>150</v>
      </c>
      <c r="G104" s="33">
        <v>18</v>
      </c>
      <c r="H104" s="34">
        <v>45</v>
      </c>
      <c r="I104" s="8">
        <v>26</v>
      </c>
      <c r="J104" s="35">
        <v>1170</v>
      </c>
      <c r="K104" s="35">
        <f>G104*J104</f>
        <v>21060</v>
      </c>
      <c r="L104" s="35">
        <f>K104+I104*20</f>
        <v>21580</v>
      </c>
      <c r="M104" s="26">
        <v>893</v>
      </c>
      <c r="N104" s="50">
        <f t="shared" si="61"/>
        <v>1044.81</v>
      </c>
      <c r="O104" s="113">
        <f t="shared" si="62"/>
        <v>0</v>
      </c>
      <c r="P104" s="113">
        <f t="shared" si="63"/>
        <v>0</v>
      </c>
      <c r="Q104" s="114">
        <f t="shared" si="64"/>
        <v>0</v>
      </c>
      <c r="R104" s="123">
        <f t="shared" si="65"/>
        <v>0</v>
      </c>
      <c r="S104" s="124">
        <v>0.16</v>
      </c>
      <c r="T104" s="124"/>
      <c r="U104" s="125" t="e">
        <f>#REF!+Q104</f>
        <v>#REF!</v>
      </c>
      <c r="V104" s="126">
        <f t="shared" si="43"/>
        <v>1373</v>
      </c>
      <c r="W104" s="115" t="e">
        <f t="shared" si="66"/>
        <v>#DIV/0!</v>
      </c>
      <c r="X104" s="123" t="e">
        <f>#REF!*0.2</f>
        <v>#REF!</v>
      </c>
      <c r="Y104" s="123" t="e">
        <f>(#REF!+X104)*0.18</f>
        <v>#REF!</v>
      </c>
      <c r="Z104" s="127" t="e">
        <f t="shared" si="67"/>
        <v>#DIV/0!</v>
      </c>
      <c r="AA104" s="128" t="e">
        <f t="shared" si="46"/>
        <v>#DIV/0!</v>
      </c>
      <c r="AB104" s="128" t="e">
        <f t="shared" si="47"/>
        <v>#REF!</v>
      </c>
      <c r="AC104" s="123" t="e">
        <f t="shared" si="68"/>
        <v>#REF!</v>
      </c>
      <c r="AD104" s="129" t="e">
        <f t="shared" si="49"/>
        <v>#REF!</v>
      </c>
      <c r="AE104" s="129" t="e">
        <f t="shared" si="50"/>
        <v>#REF!</v>
      </c>
      <c r="AF104" s="129" t="e">
        <f t="shared" si="51"/>
        <v>#REF!</v>
      </c>
      <c r="AG104" s="129" t="e">
        <f t="shared" si="52"/>
        <v>#REF!</v>
      </c>
      <c r="AH104" s="130" t="e">
        <f t="shared" si="69"/>
        <v>#REF!</v>
      </c>
      <c r="AI104" s="130"/>
      <c r="AJ104" s="128" t="e">
        <f>AG104-#REF!</f>
        <v>#REF!</v>
      </c>
      <c r="AK104" s="122" t="e">
        <f t="shared" si="55"/>
        <v>#REF!</v>
      </c>
    </row>
    <row r="105" spans="1:37" hidden="1" x14ac:dyDescent="0.2">
      <c r="A105" s="22" t="s">
        <v>177</v>
      </c>
      <c r="B105" s="23" t="s">
        <v>178</v>
      </c>
      <c r="C105" s="5" t="s">
        <v>179</v>
      </c>
      <c r="D105" s="5" t="s">
        <v>56</v>
      </c>
      <c r="E105" s="5" t="s">
        <v>63</v>
      </c>
      <c r="F105" s="23" t="s">
        <v>150</v>
      </c>
      <c r="G105" s="33">
        <v>17.5</v>
      </c>
      <c r="H105" s="34">
        <v>45</v>
      </c>
      <c r="I105" s="8">
        <v>27</v>
      </c>
      <c r="J105" s="35">
        <v>1215</v>
      </c>
      <c r="K105" s="35">
        <f>G105*J105</f>
        <v>21262.5</v>
      </c>
      <c r="L105" s="35">
        <f>K105+I105*20</f>
        <v>21802.5</v>
      </c>
      <c r="M105" s="26">
        <v>832</v>
      </c>
      <c r="N105" s="50">
        <f t="shared" si="61"/>
        <v>1010.88</v>
      </c>
      <c r="O105" s="113">
        <f t="shared" si="62"/>
        <v>0</v>
      </c>
      <c r="P105" s="113">
        <f t="shared" si="63"/>
        <v>0</v>
      </c>
      <c r="Q105" s="114">
        <f t="shared" si="64"/>
        <v>0</v>
      </c>
      <c r="R105" s="123">
        <f t="shared" si="65"/>
        <v>0</v>
      </c>
      <c r="S105" s="124">
        <v>0.16</v>
      </c>
      <c r="T105" s="124"/>
      <c r="U105" s="125" t="e">
        <f>#REF!+Q105</f>
        <v>#REF!</v>
      </c>
      <c r="V105" s="126">
        <f t="shared" si="43"/>
        <v>1373</v>
      </c>
      <c r="W105" s="115" t="e">
        <f t="shared" si="66"/>
        <v>#DIV/0!</v>
      </c>
      <c r="X105" s="123" t="e">
        <f>#REF!*0.2</f>
        <v>#REF!</v>
      </c>
      <c r="Y105" s="123" t="e">
        <f>(#REF!+X105)*0.18</f>
        <v>#REF!</v>
      </c>
      <c r="Z105" s="127" t="e">
        <f t="shared" si="67"/>
        <v>#DIV/0!</v>
      </c>
      <c r="AA105" s="128" t="e">
        <f t="shared" si="46"/>
        <v>#DIV/0!</v>
      </c>
      <c r="AB105" s="128" t="e">
        <f t="shared" si="47"/>
        <v>#REF!</v>
      </c>
      <c r="AC105" s="123" t="e">
        <f t="shared" si="68"/>
        <v>#REF!</v>
      </c>
      <c r="AD105" s="129" t="e">
        <f t="shared" si="49"/>
        <v>#REF!</v>
      </c>
      <c r="AE105" s="129" t="e">
        <f t="shared" si="50"/>
        <v>#REF!</v>
      </c>
      <c r="AF105" s="129" t="e">
        <f t="shared" si="51"/>
        <v>#REF!</v>
      </c>
      <c r="AG105" s="129" t="e">
        <f t="shared" si="52"/>
        <v>#REF!</v>
      </c>
      <c r="AH105" s="130" t="e">
        <f t="shared" si="69"/>
        <v>#REF!</v>
      </c>
      <c r="AI105" s="130"/>
      <c r="AJ105" s="128" t="e">
        <f>AG105-#REF!</f>
        <v>#REF!</v>
      </c>
      <c r="AK105" s="122" t="e">
        <f t="shared" si="55"/>
        <v>#REF!</v>
      </c>
    </row>
    <row r="106" spans="1:37" hidden="1" x14ac:dyDescent="0.2">
      <c r="A106" s="22" t="s">
        <v>159</v>
      </c>
      <c r="B106" s="23" t="s">
        <v>160</v>
      </c>
      <c r="C106" s="5" t="s">
        <v>161</v>
      </c>
      <c r="D106" s="5" t="s">
        <v>56</v>
      </c>
      <c r="E106" s="5" t="s">
        <v>63</v>
      </c>
      <c r="F106" s="23" t="s">
        <v>150</v>
      </c>
      <c r="G106" s="33">
        <v>15.5</v>
      </c>
      <c r="H106" s="34">
        <v>63</v>
      </c>
      <c r="I106" s="8">
        <v>22</v>
      </c>
      <c r="J106" s="35">
        <v>1386</v>
      </c>
      <c r="K106" s="35">
        <f>G106*J106</f>
        <v>21483</v>
      </c>
      <c r="L106" s="35">
        <f>K106+I106*20</f>
        <v>21923</v>
      </c>
      <c r="M106" s="26">
        <v>860</v>
      </c>
      <c r="N106" s="50">
        <f>J106*M106/1000</f>
        <v>1191.96</v>
      </c>
      <c r="O106" s="113">
        <f t="shared" si="62"/>
        <v>0</v>
      </c>
      <c r="P106" s="113">
        <f t="shared" si="63"/>
        <v>0</v>
      </c>
      <c r="Q106" s="114">
        <f t="shared" si="64"/>
        <v>0</v>
      </c>
      <c r="R106" s="123">
        <f t="shared" si="65"/>
        <v>0</v>
      </c>
      <c r="S106" s="124">
        <v>0.16</v>
      </c>
      <c r="T106" s="124"/>
      <c r="U106" s="125" t="e">
        <f>#REF!+Q106</f>
        <v>#REF!</v>
      </c>
      <c r="V106" s="126">
        <f>$V$7</f>
        <v>1373</v>
      </c>
      <c r="W106" s="115" t="e">
        <f t="shared" si="66"/>
        <v>#DIV/0!</v>
      </c>
      <c r="X106" s="123" t="e">
        <f>#REF!*0.2</f>
        <v>#REF!</v>
      </c>
      <c r="Y106" s="123" t="e">
        <f>(#REF!+X106)*0.18</f>
        <v>#REF!</v>
      </c>
      <c r="Z106" s="127" t="e">
        <f t="shared" si="67"/>
        <v>#DIV/0!</v>
      </c>
      <c r="AA106" s="128" t="e">
        <f>Z106*0.18</f>
        <v>#DIV/0!</v>
      </c>
      <c r="AB106" s="128" t="e">
        <f>Y106+AA106</f>
        <v>#REF!</v>
      </c>
      <c r="AC106" s="123" t="e">
        <f t="shared" si="68"/>
        <v>#REF!</v>
      </c>
      <c r="AD106" s="129" t="e">
        <f>AC106*$AD$7</f>
        <v>#REF!</v>
      </c>
      <c r="AE106" s="129" t="e">
        <f>AC106+AD106</f>
        <v>#REF!</v>
      </c>
      <c r="AF106" s="129" t="e">
        <f>AE106*0.18</f>
        <v>#REF!</v>
      </c>
      <c r="AG106" s="129" t="e">
        <f>AE106+AF106</f>
        <v>#REF!</v>
      </c>
      <c r="AH106" s="130" t="e">
        <f t="shared" si="69"/>
        <v>#REF!</v>
      </c>
      <c r="AI106" s="130"/>
      <c r="AJ106" s="128" t="e">
        <f>AG106-#REF!</f>
        <v>#REF!</v>
      </c>
      <c r="AK106" s="122" t="e">
        <f>AF106-Y106-AA106</f>
        <v>#REF!</v>
      </c>
    </row>
    <row r="107" spans="1:37" hidden="1" x14ac:dyDescent="0.2">
      <c r="A107" s="22" t="s">
        <v>167</v>
      </c>
      <c r="B107" s="23" t="s">
        <v>162</v>
      </c>
      <c r="C107" s="5" t="s">
        <v>163</v>
      </c>
      <c r="D107" s="5" t="s">
        <v>56</v>
      </c>
      <c r="E107" s="5" t="s">
        <v>63</v>
      </c>
      <c r="F107" s="23" t="s">
        <v>164</v>
      </c>
      <c r="G107" s="33">
        <v>11</v>
      </c>
      <c r="H107" s="34">
        <v>90</v>
      </c>
      <c r="I107" s="8">
        <v>21</v>
      </c>
      <c r="J107" s="35">
        <v>1890</v>
      </c>
      <c r="K107" s="35">
        <f>G107*J107</f>
        <v>20790</v>
      </c>
      <c r="L107" s="35">
        <f>K107+I107*20</f>
        <v>21210</v>
      </c>
      <c r="M107" s="26">
        <v>807</v>
      </c>
      <c r="N107" s="50">
        <f>J107*M107/1000</f>
        <v>1525.23</v>
      </c>
      <c r="O107" s="113">
        <f t="shared" si="62"/>
        <v>0</v>
      </c>
      <c r="P107" s="113">
        <f t="shared" si="63"/>
        <v>0</v>
      </c>
      <c r="Q107" s="114">
        <f t="shared" si="64"/>
        <v>0</v>
      </c>
      <c r="R107" s="123">
        <f t="shared" si="65"/>
        <v>0</v>
      </c>
      <c r="S107" s="124">
        <v>0.16</v>
      </c>
      <c r="T107" s="124"/>
      <c r="U107" s="125" t="e">
        <f>#REF!+Q107</f>
        <v>#REF!</v>
      </c>
      <c r="V107" s="126">
        <f>$V$7</f>
        <v>1373</v>
      </c>
      <c r="W107" s="115" t="e">
        <f t="shared" si="66"/>
        <v>#DIV/0!</v>
      </c>
      <c r="X107" s="123" t="e">
        <f>#REF!*0.2</f>
        <v>#REF!</v>
      </c>
      <c r="Y107" s="123" t="e">
        <f>(#REF!+X107)*0.18</f>
        <v>#REF!</v>
      </c>
      <c r="Z107" s="127" t="e">
        <f t="shared" si="67"/>
        <v>#DIV/0!</v>
      </c>
      <c r="AA107" s="128" t="e">
        <f>Z107*0.18</f>
        <v>#DIV/0!</v>
      </c>
      <c r="AB107" s="128" t="e">
        <f>Y107+AA107</f>
        <v>#REF!</v>
      </c>
      <c r="AC107" s="123" t="e">
        <f t="shared" si="68"/>
        <v>#REF!</v>
      </c>
      <c r="AD107" s="129" t="e">
        <f>AC107*$AD$7</f>
        <v>#REF!</v>
      </c>
      <c r="AE107" s="129" t="e">
        <f>AC107+AD107</f>
        <v>#REF!</v>
      </c>
      <c r="AF107" s="129" t="e">
        <f>AE107*0.18</f>
        <v>#REF!</v>
      </c>
      <c r="AG107" s="129" t="e">
        <f>AE107+AF107</f>
        <v>#REF!</v>
      </c>
      <c r="AH107" s="130" t="e">
        <f t="shared" si="69"/>
        <v>#REF!</v>
      </c>
      <c r="AI107" s="130"/>
      <c r="AJ107" s="128" t="e">
        <f>AG107-#REF!</f>
        <v>#REF!</v>
      </c>
      <c r="AK107" s="122" t="e">
        <f>AF107-Y107-AA107</f>
        <v>#REF!</v>
      </c>
    </row>
  </sheetData>
  <conditionalFormatting sqref="G47 G48:H107 G9:H46">
    <cfRule type="cellIs" dxfId="1" priority="1" stopIfTrue="1" operator="equal">
      <formula>0</formula>
    </cfRule>
  </conditionalFormatting>
  <hyperlinks>
    <hyperlink ref="M1" r:id="rId1" display="http://stock.rbc.ru/demo/forex.9/daily/EUR_USD.rus.shtml?show=1M"/>
    <hyperlink ref="M2" r:id="rId2" display="http://stock.rbc.ru/demo/cb.0/daily/EUR.rus.shtml?show=3M"/>
    <hyperlink ref="M3" r:id="rId3" display="http://stock.rbc.ru/demo/cb.0/daily/USD.rus.shtml?show=3M"/>
    <hyperlink ref="A33" r:id="rId4" display="www.lode.lv"/>
  </hyperlinks>
  <pageMargins left="0.7" right="0.7" top="0.75" bottom="0.75" header="0.3" footer="0.3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2"/>
  <sheetViews>
    <sheetView tabSelected="1" zoomScaleNormal="100" workbookViewId="0">
      <selection activeCell="A6" sqref="A6"/>
    </sheetView>
  </sheetViews>
  <sheetFormatPr defaultRowHeight="12.75" x14ac:dyDescent="0.2"/>
  <cols>
    <col min="1" max="1" width="13.140625" customWidth="1"/>
    <col min="2" max="2" width="12.85546875" style="237" bestFit="1" customWidth="1"/>
    <col min="3" max="3" width="6.28515625" style="243" bestFit="1" customWidth="1"/>
    <col min="4" max="4" width="12.7109375" style="251" bestFit="1" customWidth="1"/>
    <col min="5" max="5" width="13.42578125" style="251" bestFit="1" customWidth="1"/>
    <col min="6" max="6" width="6.140625" style="243" bestFit="1" customWidth="1"/>
    <col min="7" max="7" width="10.140625" style="243" bestFit="1" customWidth="1"/>
    <col min="8" max="8" width="8.28515625" style="243" customWidth="1"/>
    <col min="9" max="9" width="13.28515625" style="243" bestFit="1" customWidth="1"/>
  </cols>
  <sheetData>
    <row r="1" spans="1:9" ht="15" x14ac:dyDescent="0.25">
      <c r="A1" s="230"/>
      <c r="F1" s="234"/>
      <c r="G1" s="234"/>
      <c r="H1" s="231"/>
      <c r="I1" s="257"/>
    </row>
    <row r="2" spans="1:9" ht="15" x14ac:dyDescent="0.25">
      <c r="A2" s="279"/>
      <c r="B2" s="280"/>
      <c r="C2" s="280"/>
      <c r="D2" s="280"/>
      <c r="E2" s="280"/>
      <c r="F2" s="280"/>
      <c r="G2" s="280"/>
      <c r="H2" s="280"/>
      <c r="I2" s="257"/>
    </row>
    <row r="3" spans="1:9" ht="15" x14ac:dyDescent="0.25">
      <c r="C3" s="244"/>
      <c r="D3" s="252"/>
      <c r="E3" s="252"/>
      <c r="F3" s="244"/>
      <c r="G3" s="244"/>
      <c r="H3" s="244"/>
      <c r="I3" s="257"/>
    </row>
    <row r="4" spans="1:9" ht="15" x14ac:dyDescent="0.25">
      <c r="C4" s="244"/>
      <c r="D4" s="252"/>
      <c r="E4" s="252"/>
      <c r="F4" s="244"/>
      <c r="G4" s="244"/>
      <c r="H4" s="244"/>
      <c r="I4" s="257"/>
    </row>
    <row r="5" spans="1:9" ht="15" x14ac:dyDescent="0.25">
      <c r="A5" s="271" t="s">
        <v>299</v>
      </c>
      <c r="B5" s="236"/>
      <c r="C5" s="245"/>
      <c r="D5" s="253"/>
      <c r="E5" s="253"/>
      <c r="F5" s="245"/>
      <c r="G5" s="245"/>
      <c r="H5" s="245"/>
      <c r="I5" s="245"/>
    </row>
    <row r="6" spans="1:9" x14ac:dyDescent="0.2">
      <c r="A6" s="233"/>
      <c r="B6" s="233"/>
      <c r="C6" s="246"/>
      <c r="D6" s="232"/>
      <c r="E6" s="266"/>
      <c r="F6" s="234"/>
      <c r="G6" s="234"/>
      <c r="H6" s="234"/>
      <c r="I6" s="235"/>
    </row>
    <row r="7" spans="1:9" ht="63.75" x14ac:dyDescent="0.2">
      <c r="A7" s="238" t="s">
        <v>264</v>
      </c>
      <c r="B7" s="238" t="s">
        <v>265</v>
      </c>
      <c r="C7" s="281" t="s">
        <v>266</v>
      </c>
      <c r="D7" s="282"/>
      <c r="E7" s="238" t="s">
        <v>190</v>
      </c>
      <c r="F7" s="239" t="s">
        <v>267</v>
      </c>
      <c r="G7" s="238" t="s">
        <v>268</v>
      </c>
      <c r="H7" s="239" t="s">
        <v>269</v>
      </c>
      <c r="I7" s="240" t="s">
        <v>270</v>
      </c>
    </row>
    <row r="8" spans="1:9" x14ac:dyDescent="0.2">
      <c r="A8" s="241" t="s">
        <v>271</v>
      </c>
      <c r="B8" s="260"/>
      <c r="C8" s="247"/>
      <c r="D8" s="267"/>
      <c r="E8" s="267"/>
      <c r="F8" s="247"/>
      <c r="G8" s="247"/>
      <c r="H8" s="247"/>
      <c r="I8" s="258"/>
    </row>
    <row r="9" spans="1:9" x14ac:dyDescent="0.2">
      <c r="A9" s="283">
        <v>25103440</v>
      </c>
      <c r="B9" s="284" t="s">
        <v>262</v>
      </c>
      <c r="C9" s="248" t="s">
        <v>272</v>
      </c>
      <c r="D9" s="276" t="s">
        <v>247</v>
      </c>
      <c r="E9" s="284" t="s">
        <v>251</v>
      </c>
      <c r="F9" s="264">
        <v>2</v>
      </c>
      <c r="G9" s="262">
        <v>540</v>
      </c>
      <c r="H9" s="255">
        <v>10260</v>
      </c>
      <c r="I9" s="259">
        <v>51.4</v>
      </c>
    </row>
    <row r="10" spans="1:9" x14ac:dyDescent="0.2">
      <c r="A10" s="283">
        <v>25103400</v>
      </c>
      <c r="B10" s="284" t="s">
        <v>262</v>
      </c>
      <c r="C10" s="248" t="s">
        <v>272</v>
      </c>
      <c r="D10" s="276" t="s">
        <v>247</v>
      </c>
      <c r="E10" s="284" t="s">
        <v>252</v>
      </c>
      <c r="F10" s="264">
        <v>2</v>
      </c>
      <c r="G10" s="262">
        <v>540</v>
      </c>
      <c r="H10" s="255">
        <v>10260</v>
      </c>
      <c r="I10" s="259">
        <v>51.4</v>
      </c>
    </row>
    <row r="11" spans="1:9" x14ac:dyDescent="0.2">
      <c r="A11" s="283">
        <v>25103410</v>
      </c>
      <c r="B11" s="284" t="s">
        <v>262</v>
      </c>
      <c r="C11" s="248" t="s">
        <v>272</v>
      </c>
      <c r="D11" s="276" t="s">
        <v>247</v>
      </c>
      <c r="E11" s="284" t="s">
        <v>256</v>
      </c>
      <c r="F11" s="264">
        <v>2</v>
      </c>
      <c r="G11" s="262">
        <v>540</v>
      </c>
      <c r="H11" s="255">
        <v>10260</v>
      </c>
      <c r="I11" s="259">
        <v>51.4</v>
      </c>
    </row>
    <row r="12" spans="1:9" x14ac:dyDescent="0.2">
      <c r="A12" s="283">
        <v>25103450</v>
      </c>
      <c r="B12" s="284" t="s">
        <v>262</v>
      </c>
      <c r="C12" s="248" t="s">
        <v>272</v>
      </c>
      <c r="D12" s="276" t="s">
        <v>247</v>
      </c>
      <c r="E12" s="284" t="s">
        <v>254</v>
      </c>
      <c r="F12" s="264">
        <v>2.1</v>
      </c>
      <c r="G12" s="262">
        <v>540</v>
      </c>
      <c r="H12" s="255">
        <v>10260</v>
      </c>
      <c r="I12" s="259">
        <v>51.4</v>
      </c>
    </row>
    <row r="13" spans="1:9" x14ac:dyDescent="0.2">
      <c r="A13" s="283">
        <v>25103460</v>
      </c>
      <c r="B13" s="284" t="s">
        <v>262</v>
      </c>
      <c r="C13" s="248" t="s">
        <v>273</v>
      </c>
      <c r="D13" s="276" t="s">
        <v>4</v>
      </c>
      <c r="E13" s="284" t="s">
        <v>252</v>
      </c>
      <c r="F13" s="264">
        <v>2.9</v>
      </c>
      <c r="G13" s="262">
        <v>420</v>
      </c>
      <c r="H13" s="255">
        <v>10260</v>
      </c>
      <c r="I13" s="259">
        <v>68.5</v>
      </c>
    </row>
    <row r="14" spans="1:9" x14ac:dyDescent="0.2">
      <c r="A14" s="283">
        <v>25103540</v>
      </c>
      <c r="B14" s="284" t="s">
        <v>297</v>
      </c>
      <c r="C14" s="248" t="s">
        <v>272</v>
      </c>
      <c r="D14" s="276" t="s">
        <v>247</v>
      </c>
      <c r="E14" s="284" t="s">
        <v>251</v>
      </c>
      <c r="F14" s="264">
        <v>2</v>
      </c>
      <c r="G14" s="262">
        <v>540</v>
      </c>
      <c r="H14" s="255">
        <v>10260</v>
      </c>
      <c r="I14" s="259">
        <v>52.3</v>
      </c>
    </row>
    <row r="15" spans="1:9" x14ac:dyDescent="0.2">
      <c r="A15" s="283">
        <v>25103720</v>
      </c>
      <c r="B15" s="284" t="s">
        <v>259</v>
      </c>
      <c r="C15" s="248" t="s">
        <v>272</v>
      </c>
      <c r="D15" s="276" t="s">
        <v>247</v>
      </c>
      <c r="E15" s="284" t="s">
        <v>252</v>
      </c>
      <c r="F15" s="264">
        <v>2.1</v>
      </c>
      <c r="G15" s="262">
        <v>540</v>
      </c>
      <c r="H15" s="255">
        <v>9720</v>
      </c>
      <c r="I15" s="259">
        <v>36.700000000000003</v>
      </c>
    </row>
    <row r="16" spans="1:9" x14ac:dyDescent="0.2">
      <c r="A16" s="283">
        <v>25102000</v>
      </c>
      <c r="B16" s="284" t="s">
        <v>249</v>
      </c>
      <c r="C16" s="248" t="s">
        <v>273</v>
      </c>
      <c r="D16" s="276" t="s">
        <v>4</v>
      </c>
      <c r="E16" s="284" t="s">
        <v>248</v>
      </c>
      <c r="F16" s="264">
        <v>2.9</v>
      </c>
      <c r="G16" s="262">
        <v>420</v>
      </c>
      <c r="H16" s="255">
        <v>7140</v>
      </c>
      <c r="I16" s="259">
        <v>38</v>
      </c>
    </row>
    <row r="17" spans="1:9" x14ac:dyDescent="0.2">
      <c r="A17" s="283">
        <v>25102100</v>
      </c>
      <c r="B17" s="284" t="s">
        <v>249</v>
      </c>
      <c r="C17" s="248" t="s">
        <v>273</v>
      </c>
      <c r="D17" s="276" t="s">
        <v>4</v>
      </c>
      <c r="E17" s="284" t="s">
        <v>250</v>
      </c>
      <c r="F17" s="264">
        <v>2.9</v>
      </c>
      <c r="G17" s="262">
        <v>420</v>
      </c>
      <c r="H17" s="255">
        <v>7140</v>
      </c>
      <c r="I17" s="259">
        <v>38</v>
      </c>
    </row>
    <row r="18" spans="1:9" x14ac:dyDescent="0.2">
      <c r="A18" s="283">
        <v>25102150</v>
      </c>
      <c r="B18" s="284" t="s">
        <v>249</v>
      </c>
      <c r="C18" s="248" t="s">
        <v>273</v>
      </c>
      <c r="D18" s="276" t="s">
        <v>4</v>
      </c>
      <c r="E18" s="284" t="s">
        <v>251</v>
      </c>
      <c r="F18" s="264">
        <v>2.9</v>
      </c>
      <c r="G18" s="262">
        <v>420</v>
      </c>
      <c r="H18" s="255">
        <v>7140</v>
      </c>
      <c r="I18" s="259">
        <v>38</v>
      </c>
    </row>
    <row r="19" spans="1:9" x14ac:dyDescent="0.2">
      <c r="A19" s="283">
        <v>25102020</v>
      </c>
      <c r="B19" s="284" t="s">
        <v>249</v>
      </c>
      <c r="C19" s="248" t="s">
        <v>272</v>
      </c>
      <c r="D19" s="276" t="s">
        <v>247</v>
      </c>
      <c r="E19" s="284" t="s">
        <v>252</v>
      </c>
      <c r="F19" s="264">
        <v>2.1</v>
      </c>
      <c r="G19" s="262">
        <v>540</v>
      </c>
      <c r="H19" s="255">
        <v>9720</v>
      </c>
      <c r="I19" s="259">
        <v>28.5</v>
      </c>
    </row>
    <row r="20" spans="1:9" x14ac:dyDescent="0.2">
      <c r="A20" s="283">
        <v>25102120</v>
      </c>
      <c r="B20" s="284" t="s">
        <v>249</v>
      </c>
      <c r="C20" s="248" t="s">
        <v>272</v>
      </c>
      <c r="D20" s="276" t="s">
        <v>247</v>
      </c>
      <c r="E20" s="284" t="s">
        <v>250</v>
      </c>
      <c r="F20" s="264">
        <v>2.1</v>
      </c>
      <c r="G20" s="262">
        <v>540</v>
      </c>
      <c r="H20" s="255">
        <v>9720</v>
      </c>
      <c r="I20" s="259">
        <v>28.5</v>
      </c>
    </row>
    <row r="21" spans="1:9" x14ac:dyDescent="0.2">
      <c r="A21" s="283">
        <v>25102160</v>
      </c>
      <c r="B21" s="284" t="s">
        <v>249</v>
      </c>
      <c r="C21" s="248" t="s">
        <v>272</v>
      </c>
      <c r="D21" s="276" t="s">
        <v>247</v>
      </c>
      <c r="E21" s="284" t="s">
        <v>251</v>
      </c>
      <c r="F21" s="264">
        <v>2.1</v>
      </c>
      <c r="G21" s="262">
        <v>540</v>
      </c>
      <c r="H21" s="255">
        <v>9720</v>
      </c>
      <c r="I21" s="259">
        <v>28.5</v>
      </c>
    </row>
    <row r="22" spans="1:9" x14ac:dyDescent="0.2">
      <c r="A22" s="283">
        <v>25102170</v>
      </c>
      <c r="B22" s="284" t="s">
        <v>249</v>
      </c>
      <c r="C22" s="248" t="s">
        <v>272</v>
      </c>
      <c r="D22" s="276" t="s">
        <v>247</v>
      </c>
      <c r="E22" s="284" t="s">
        <v>253</v>
      </c>
      <c r="F22" s="264">
        <v>2.1</v>
      </c>
      <c r="G22" s="262">
        <v>540</v>
      </c>
      <c r="H22" s="255">
        <v>9720</v>
      </c>
      <c r="I22" s="259">
        <v>28.7</v>
      </c>
    </row>
    <row r="23" spans="1:9" x14ac:dyDescent="0.2">
      <c r="A23" s="283">
        <v>25102180</v>
      </c>
      <c r="B23" s="284" t="s">
        <v>249</v>
      </c>
      <c r="C23" s="248" t="s">
        <v>272</v>
      </c>
      <c r="D23" s="276" t="s">
        <v>247</v>
      </c>
      <c r="E23" s="284" t="s">
        <v>254</v>
      </c>
      <c r="F23" s="264">
        <v>2.15</v>
      </c>
      <c r="G23" s="262">
        <v>540</v>
      </c>
      <c r="H23" s="255">
        <v>9720</v>
      </c>
      <c r="I23" s="259">
        <v>33.700000000000003</v>
      </c>
    </row>
    <row r="24" spans="1:9" x14ac:dyDescent="0.2">
      <c r="A24" s="283">
        <v>25102520</v>
      </c>
      <c r="B24" s="284" t="s">
        <v>260</v>
      </c>
      <c r="C24" s="248" t="s">
        <v>272</v>
      </c>
      <c r="D24" s="276" t="s">
        <v>247</v>
      </c>
      <c r="E24" s="284" t="s">
        <v>252</v>
      </c>
      <c r="F24" s="264">
        <v>2.1</v>
      </c>
      <c r="G24" s="262">
        <v>540</v>
      </c>
      <c r="H24" s="255">
        <v>9720</v>
      </c>
      <c r="I24" s="259">
        <v>28.5</v>
      </c>
    </row>
    <row r="25" spans="1:9" x14ac:dyDescent="0.2">
      <c r="A25" s="283">
        <v>25102540</v>
      </c>
      <c r="B25" s="284" t="s">
        <v>260</v>
      </c>
      <c r="C25" s="248" t="s">
        <v>272</v>
      </c>
      <c r="D25" s="276" t="s">
        <v>247</v>
      </c>
      <c r="E25" s="284" t="s">
        <v>256</v>
      </c>
      <c r="F25" s="264">
        <v>2.1</v>
      </c>
      <c r="G25" s="262">
        <v>540</v>
      </c>
      <c r="H25" s="255">
        <v>9720</v>
      </c>
      <c r="I25" s="259">
        <v>28.5</v>
      </c>
    </row>
    <row r="26" spans="1:9" x14ac:dyDescent="0.2">
      <c r="A26" s="283">
        <v>25102580</v>
      </c>
      <c r="B26" s="284" t="s">
        <v>260</v>
      </c>
      <c r="C26" s="248" t="s">
        <v>272</v>
      </c>
      <c r="D26" s="276" t="s">
        <v>247</v>
      </c>
      <c r="E26" s="284" t="s">
        <v>254</v>
      </c>
      <c r="F26" s="264">
        <v>2.1</v>
      </c>
      <c r="G26" s="262">
        <v>540</v>
      </c>
      <c r="H26" s="255">
        <v>9720</v>
      </c>
      <c r="I26" s="259">
        <v>28.5</v>
      </c>
    </row>
    <row r="27" spans="1:9" x14ac:dyDescent="0.2">
      <c r="A27" s="283">
        <v>25102525</v>
      </c>
      <c r="B27" s="284" t="s">
        <v>260</v>
      </c>
      <c r="C27" s="248" t="s">
        <v>272</v>
      </c>
      <c r="D27" s="276" t="s">
        <v>247</v>
      </c>
      <c r="E27" s="284" t="s">
        <v>287</v>
      </c>
      <c r="F27" s="264">
        <v>2.1</v>
      </c>
      <c r="G27" s="262">
        <v>540</v>
      </c>
      <c r="H27" s="255">
        <v>9720</v>
      </c>
      <c r="I27" s="259">
        <v>28.5</v>
      </c>
    </row>
    <row r="28" spans="1:9" x14ac:dyDescent="0.2">
      <c r="A28" s="283">
        <v>25102570</v>
      </c>
      <c r="B28" s="284" t="s">
        <v>260</v>
      </c>
      <c r="C28" s="248" t="s">
        <v>272</v>
      </c>
      <c r="D28" s="276" t="s">
        <v>247</v>
      </c>
      <c r="E28" s="284" t="s">
        <v>253</v>
      </c>
      <c r="F28" s="264">
        <v>2.2000000000000002</v>
      </c>
      <c r="G28" s="262">
        <v>540</v>
      </c>
      <c r="H28" s="255">
        <v>9720</v>
      </c>
      <c r="I28" s="259">
        <v>28.7</v>
      </c>
    </row>
    <row r="29" spans="1:9" x14ac:dyDescent="0.2">
      <c r="A29" s="283">
        <v>25103220</v>
      </c>
      <c r="B29" s="284" t="s">
        <v>257</v>
      </c>
      <c r="C29" s="248" t="s">
        <v>274</v>
      </c>
      <c r="D29" s="276" t="s">
        <v>4</v>
      </c>
      <c r="E29" s="284" t="s">
        <v>252</v>
      </c>
      <c r="F29" s="264">
        <v>2.5</v>
      </c>
      <c r="G29" s="262">
        <v>420</v>
      </c>
      <c r="H29" s="255">
        <v>8400</v>
      </c>
      <c r="I29" s="259">
        <v>45.7</v>
      </c>
    </row>
    <row r="30" spans="1:9" x14ac:dyDescent="0.2">
      <c r="A30" s="283">
        <v>25103230</v>
      </c>
      <c r="B30" s="284" t="s">
        <v>257</v>
      </c>
      <c r="C30" s="248" t="s">
        <v>274</v>
      </c>
      <c r="D30" s="276" t="s">
        <v>4</v>
      </c>
      <c r="E30" s="284" t="s">
        <v>256</v>
      </c>
      <c r="F30" s="264">
        <v>2.5</v>
      </c>
      <c r="G30" s="262">
        <v>420</v>
      </c>
      <c r="H30" s="255">
        <v>8400</v>
      </c>
      <c r="I30" s="259">
        <v>45.7</v>
      </c>
    </row>
    <row r="31" spans="1:9" x14ac:dyDescent="0.2">
      <c r="A31" s="283">
        <v>25103235</v>
      </c>
      <c r="B31" s="284" t="s">
        <v>257</v>
      </c>
      <c r="C31" s="248" t="s">
        <v>274</v>
      </c>
      <c r="D31" s="276" t="s">
        <v>4</v>
      </c>
      <c r="E31" s="284" t="s">
        <v>251</v>
      </c>
      <c r="F31" s="264">
        <v>2.5</v>
      </c>
      <c r="G31" s="262">
        <v>420</v>
      </c>
      <c r="H31" s="255">
        <v>8400</v>
      </c>
      <c r="I31" s="259">
        <v>45.7</v>
      </c>
    </row>
    <row r="32" spans="1:9" x14ac:dyDescent="0.2">
      <c r="A32" s="283">
        <v>25103200</v>
      </c>
      <c r="B32" s="284" t="s">
        <v>257</v>
      </c>
      <c r="C32" s="248" t="s">
        <v>272</v>
      </c>
      <c r="D32" s="276" t="s">
        <v>247</v>
      </c>
      <c r="E32" s="284" t="s">
        <v>252</v>
      </c>
      <c r="F32" s="264">
        <v>1.8</v>
      </c>
      <c r="G32" s="262">
        <v>540</v>
      </c>
      <c r="H32" s="255">
        <v>11340</v>
      </c>
      <c r="I32" s="259">
        <v>33.799999999999997</v>
      </c>
    </row>
    <row r="33" spans="1:9" x14ac:dyDescent="0.2">
      <c r="A33" s="283">
        <v>25103210</v>
      </c>
      <c r="B33" s="284" t="s">
        <v>257</v>
      </c>
      <c r="C33" s="248" t="s">
        <v>272</v>
      </c>
      <c r="D33" s="276" t="s">
        <v>247</v>
      </c>
      <c r="E33" s="284" t="s">
        <v>256</v>
      </c>
      <c r="F33" s="264">
        <v>1.8</v>
      </c>
      <c r="G33" s="262">
        <v>540</v>
      </c>
      <c r="H33" s="255">
        <v>11340</v>
      </c>
      <c r="I33" s="259">
        <v>33.799999999999997</v>
      </c>
    </row>
    <row r="34" spans="1:9" x14ac:dyDescent="0.2">
      <c r="A34" s="283">
        <v>25103240</v>
      </c>
      <c r="B34" s="284" t="s">
        <v>257</v>
      </c>
      <c r="C34" s="248" t="s">
        <v>272</v>
      </c>
      <c r="D34" s="276" t="s">
        <v>247</v>
      </c>
      <c r="E34" s="284" t="s">
        <v>251</v>
      </c>
      <c r="F34" s="264">
        <v>1.8</v>
      </c>
      <c r="G34" s="262">
        <v>540</v>
      </c>
      <c r="H34" s="255">
        <v>11340</v>
      </c>
      <c r="I34" s="259">
        <v>33.799999999999997</v>
      </c>
    </row>
    <row r="35" spans="1:9" x14ac:dyDescent="0.2">
      <c r="A35" s="283">
        <v>25103140</v>
      </c>
      <c r="B35" s="284" t="s">
        <v>258</v>
      </c>
      <c r="C35" s="248" t="s">
        <v>272</v>
      </c>
      <c r="D35" s="276" t="s">
        <v>247</v>
      </c>
      <c r="E35" s="284" t="s">
        <v>251</v>
      </c>
      <c r="F35" s="264">
        <v>1.8</v>
      </c>
      <c r="G35" s="262">
        <v>540</v>
      </c>
      <c r="H35" s="255">
        <v>11340</v>
      </c>
      <c r="I35" s="259">
        <v>33.799999999999997</v>
      </c>
    </row>
    <row r="36" spans="1:9" x14ac:dyDescent="0.2">
      <c r="A36" s="283">
        <v>25103010</v>
      </c>
      <c r="B36" s="284" t="s">
        <v>258</v>
      </c>
      <c r="C36" s="248" t="s">
        <v>274</v>
      </c>
      <c r="D36" s="276" t="s">
        <v>4</v>
      </c>
      <c r="E36" s="284" t="s">
        <v>252</v>
      </c>
      <c r="F36" s="264">
        <v>2.5</v>
      </c>
      <c r="G36" s="262">
        <v>420</v>
      </c>
      <c r="H36" s="255">
        <v>8400</v>
      </c>
      <c r="I36" s="259">
        <v>45.7</v>
      </c>
    </row>
    <row r="37" spans="1:9" x14ac:dyDescent="0.2">
      <c r="A37" s="283">
        <v>25103120</v>
      </c>
      <c r="B37" s="284" t="s">
        <v>258</v>
      </c>
      <c r="C37" s="248" t="s">
        <v>274</v>
      </c>
      <c r="D37" s="276" t="s">
        <v>4</v>
      </c>
      <c r="E37" s="284" t="s">
        <v>256</v>
      </c>
      <c r="F37" s="264">
        <v>2.5</v>
      </c>
      <c r="G37" s="262">
        <v>420</v>
      </c>
      <c r="H37" s="255">
        <v>8400</v>
      </c>
      <c r="I37" s="259">
        <v>45.7</v>
      </c>
    </row>
    <row r="38" spans="1:9" x14ac:dyDescent="0.2">
      <c r="A38" s="283">
        <v>25103160</v>
      </c>
      <c r="B38" s="284" t="s">
        <v>258</v>
      </c>
      <c r="C38" s="248" t="s">
        <v>274</v>
      </c>
      <c r="D38" s="276" t="s">
        <v>4</v>
      </c>
      <c r="E38" s="284" t="s">
        <v>251</v>
      </c>
      <c r="F38" s="264">
        <v>2.5</v>
      </c>
      <c r="G38" s="262">
        <v>420</v>
      </c>
      <c r="H38" s="255">
        <v>8400</v>
      </c>
      <c r="I38" s="259">
        <v>45.7</v>
      </c>
    </row>
    <row r="39" spans="1:9" x14ac:dyDescent="0.2">
      <c r="A39" s="283">
        <v>25103000</v>
      </c>
      <c r="B39" s="284" t="s">
        <v>258</v>
      </c>
      <c r="C39" s="248" t="s">
        <v>272</v>
      </c>
      <c r="D39" s="276" t="s">
        <v>247</v>
      </c>
      <c r="E39" s="284" t="s">
        <v>252</v>
      </c>
      <c r="F39" s="264">
        <v>1.8</v>
      </c>
      <c r="G39" s="262">
        <v>540</v>
      </c>
      <c r="H39" s="255">
        <v>11340</v>
      </c>
      <c r="I39" s="259">
        <v>33.799999999999997</v>
      </c>
    </row>
    <row r="40" spans="1:9" x14ac:dyDescent="0.2">
      <c r="A40" s="283">
        <v>25103170</v>
      </c>
      <c r="B40" s="284" t="s">
        <v>258</v>
      </c>
      <c r="C40" s="248" t="s">
        <v>272</v>
      </c>
      <c r="D40" s="276" t="s">
        <v>247</v>
      </c>
      <c r="E40" s="284" t="s">
        <v>254</v>
      </c>
      <c r="F40" s="264">
        <v>1.8</v>
      </c>
      <c r="G40" s="262">
        <v>540</v>
      </c>
      <c r="H40" s="255">
        <v>11340</v>
      </c>
      <c r="I40" s="259">
        <v>33.799999999999997</v>
      </c>
    </row>
    <row r="41" spans="1:9" x14ac:dyDescent="0.2">
      <c r="A41" s="283">
        <v>25103110</v>
      </c>
      <c r="B41" s="284" t="s">
        <v>275</v>
      </c>
      <c r="C41" s="248" t="s">
        <v>272</v>
      </c>
      <c r="D41" s="276" t="s">
        <v>247</v>
      </c>
      <c r="E41" s="284" t="s">
        <v>256</v>
      </c>
      <c r="F41" s="264">
        <v>1.8</v>
      </c>
      <c r="G41" s="262">
        <v>540</v>
      </c>
      <c r="H41" s="255">
        <v>11340</v>
      </c>
      <c r="I41" s="259">
        <v>33.799999999999997</v>
      </c>
    </row>
    <row r="42" spans="1:9" x14ac:dyDescent="0.2">
      <c r="A42" s="283">
        <v>25103180</v>
      </c>
      <c r="B42" s="284" t="s">
        <v>298</v>
      </c>
      <c r="C42" s="248" t="s">
        <v>272</v>
      </c>
      <c r="D42" s="276" t="s">
        <v>247</v>
      </c>
      <c r="E42" s="284" t="s">
        <v>254</v>
      </c>
      <c r="F42" s="264">
        <v>1.8</v>
      </c>
      <c r="G42" s="262">
        <v>540</v>
      </c>
      <c r="H42" s="255">
        <v>11340</v>
      </c>
      <c r="I42" s="259">
        <v>44.7</v>
      </c>
    </row>
    <row r="43" spans="1:9" x14ac:dyDescent="0.2">
      <c r="A43" s="283">
        <v>25102770</v>
      </c>
      <c r="B43" s="284" t="s">
        <v>255</v>
      </c>
      <c r="C43" s="248" t="s">
        <v>272</v>
      </c>
      <c r="D43" s="276" t="s">
        <v>247</v>
      </c>
      <c r="E43" s="284" t="s">
        <v>251</v>
      </c>
      <c r="F43" s="264">
        <v>2.1</v>
      </c>
      <c r="G43" s="262">
        <v>540</v>
      </c>
      <c r="H43" s="255">
        <v>9720</v>
      </c>
      <c r="I43" s="259">
        <v>33.700000000000003</v>
      </c>
    </row>
    <row r="44" spans="1:9" x14ac:dyDescent="0.2">
      <c r="A44" s="283">
        <v>25102700</v>
      </c>
      <c r="B44" s="284" t="s">
        <v>255</v>
      </c>
      <c r="C44" s="248" t="s">
        <v>273</v>
      </c>
      <c r="D44" s="276" t="s">
        <v>4</v>
      </c>
      <c r="E44" s="284" t="s">
        <v>252</v>
      </c>
      <c r="F44" s="264">
        <v>2.9</v>
      </c>
      <c r="G44" s="262">
        <v>420</v>
      </c>
      <c r="H44" s="255">
        <v>7140</v>
      </c>
      <c r="I44" s="259">
        <v>44.9</v>
      </c>
    </row>
    <row r="45" spans="1:9" x14ac:dyDescent="0.2">
      <c r="A45" s="283">
        <v>25102730</v>
      </c>
      <c r="B45" s="284" t="s">
        <v>255</v>
      </c>
      <c r="C45" s="248" t="s">
        <v>273</v>
      </c>
      <c r="D45" s="276" t="s">
        <v>4</v>
      </c>
      <c r="E45" s="284" t="s">
        <v>256</v>
      </c>
      <c r="F45" s="264">
        <v>2.9</v>
      </c>
      <c r="G45" s="262">
        <v>420</v>
      </c>
      <c r="H45" s="255">
        <v>7140</v>
      </c>
      <c r="I45" s="259">
        <v>44.9</v>
      </c>
    </row>
    <row r="46" spans="1:9" x14ac:dyDescent="0.2">
      <c r="A46" s="283">
        <v>25102760</v>
      </c>
      <c r="B46" s="284" t="s">
        <v>255</v>
      </c>
      <c r="C46" s="248" t="s">
        <v>274</v>
      </c>
      <c r="D46" s="276" t="s">
        <v>4</v>
      </c>
      <c r="E46" s="284" t="s">
        <v>251</v>
      </c>
      <c r="F46" s="264">
        <v>2.9</v>
      </c>
      <c r="G46" s="262">
        <v>420</v>
      </c>
      <c r="H46" s="255">
        <v>7140</v>
      </c>
      <c r="I46" s="259">
        <v>44.9</v>
      </c>
    </row>
    <row r="47" spans="1:9" x14ac:dyDescent="0.2">
      <c r="A47" s="283">
        <v>25102720</v>
      </c>
      <c r="B47" s="284" t="s">
        <v>255</v>
      </c>
      <c r="C47" s="248" t="s">
        <v>276</v>
      </c>
      <c r="D47" s="276" t="s">
        <v>247</v>
      </c>
      <c r="E47" s="284" t="s">
        <v>252</v>
      </c>
      <c r="F47" s="264">
        <v>2.1</v>
      </c>
      <c r="G47" s="262">
        <v>540</v>
      </c>
      <c r="H47" s="255">
        <v>9720</v>
      </c>
      <c r="I47" s="259">
        <v>33.700000000000003</v>
      </c>
    </row>
    <row r="48" spans="1:9" x14ac:dyDescent="0.2">
      <c r="A48" s="283">
        <v>25102794</v>
      </c>
      <c r="B48" s="284" t="s">
        <v>255</v>
      </c>
      <c r="C48" s="248" t="s">
        <v>276</v>
      </c>
      <c r="D48" s="276" t="s">
        <v>247</v>
      </c>
      <c r="E48" s="284" t="s">
        <v>254</v>
      </c>
      <c r="F48" s="264">
        <v>2.2200000000000002</v>
      </c>
      <c r="G48" s="262">
        <v>540</v>
      </c>
      <c r="H48" s="255">
        <v>9720</v>
      </c>
      <c r="I48" s="259">
        <v>33.700000000000003</v>
      </c>
    </row>
    <row r="49" spans="1:18" ht="12.75" customHeight="1" x14ac:dyDescent="0.2">
      <c r="A49" s="283">
        <v>25102750</v>
      </c>
      <c r="B49" s="284" t="s">
        <v>277</v>
      </c>
      <c r="C49" s="248" t="s">
        <v>272</v>
      </c>
      <c r="D49" s="276" t="s">
        <v>247</v>
      </c>
      <c r="E49" s="284" t="s">
        <v>250</v>
      </c>
      <c r="F49" s="264">
        <v>2.1</v>
      </c>
      <c r="G49" s="262">
        <v>540</v>
      </c>
      <c r="H49" s="255">
        <v>9720</v>
      </c>
      <c r="I49" s="259">
        <v>33.700000000000003</v>
      </c>
    </row>
    <row r="50" spans="1:18" x14ac:dyDescent="0.2">
      <c r="A50" s="283">
        <v>25103710</v>
      </c>
      <c r="B50" s="284" t="s">
        <v>261</v>
      </c>
      <c r="C50" s="248" t="s">
        <v>272</v>
      </c>
      <c r="D50" s="276" t="s">
        <v>247</v>
      </c>
      <c r="E50" s="284" t="s">
        <v>252</v>
      </c>
      <c r="F50" s="264">
        <v>2.1</v>
      </c>
      <c r="G50" s="262">
        <v>540</v>
      </c>
      <c r="H50" s="255">
        <v>9720</v>
      </c>
      <c r="I50" s="259">
        <v>33.700000000000003</v>
      </c>
    </row>
    <row r="51" spans="1:18" x14ac:dyDescent="0.2">
      <c r="A51" s="283">
        <v>25103711</v>
      </c>
      <c r="B51" s="284" t="s">
        <v>261</v>
      </c>
      <c r="C51" s="248" t="s">
        <v>272</v>
      </c>
      <c r="D51" s="276" t="s">
        <v>247</v>
      </c>
      <c r="E51" s="284" t="s">
        <v>256</v>
      </c>
      <c r="F51" s="264">
        <v>2.1</v>
      </c>
      <c r="G51" s="262">
        <v>540</v>
      </c>
      <c r="H51" s="255">
        <v>9720</v>
      </c>
      <c r="I51" s="259">
        <v>33.700000000000003</v>
      </c>
    </row>
    <row r="52" spans="1:18" x14ac:dyDescent="0.2">
      <c r="A52" s="283">
        <v>25103713</v>
      </c>
      <c r="B52" s="284" t="s">
        <v>261</v>
      </c>
      <c r="C52" s="248" t="s">
        <v>272</v>
      </c>
      <c r="D52" s="276" t="s">
        <v>247</v>
      </c>
      <c r="E52" s="284" t="s">
        <v>253</v>
      </c>
      <c r="F52" s="264">
        <v>2.2000000000000002</v>
      </c>
      <c r="G52" s="262">
        <v>540</v>
      </c>
      <c r="H52" s="255">
        <v>9720</v>
      </c>
      <c r="I52" s="259">
        <v>34</v>
      </c>
    </row>
    <row r="53" spans="1:18" x14ac:dyDescent="0.2">
      <c r="A53" s="283">
        <v>25107000</v>
      </c>
      <c r="B53" s="284" t="s">
        <v>288</v>
      </c>
      <c r="C53" s="248" t="s">
        <v>289</v>
      </c>
      <c r="D53" s="276" t="s">
        <v>290</v>
      </c>
      <c r="E53" s="284" t="s">
        <v>252</v>
      </c>
      <c r="F53" s="264">
        <v>2.4</v>
      </c>
      <c r="G53" s="262">
        <v>438</v>
      </c>
      <c r="H53" s="255">
        <v>8760</v>
      </c>
      <c r="I53" s="259">
        <v>33.700000000000003</v>
      </c>
    </row>
    <row r="54" spans="1:18" x14ac:dyDescent="0.2">
      <c r="A54" s="283">
        <v>25107001</v>
      </c>
      <c r="B54" s="284" t="s">
        <v>288</v>
      </c>
      <c r="C54" s="248" t="s">
        <v>289</v>
      </c>
      <c r="D54" s="276" t="s">
        <v>290</v>
      </c>
      <c r="E54" s="284" t="s">
        <v>254</v>
      </c>
      <c r="F54" s="264">
        <v>2.4</v>
      </c>
      <c r="G54" s="262">
        <v>438</v>
      </c>
      <c r="H54" s="255">
        <v>8760</v>
      </c>
      <c r="I54" s="259">
        <v>33.700000000000003</v>
      </c>
    </row>
    <row r="55" spans="1:18" x14ac:dyDescent="0.2">
      <c r="A55" s="283">
        <v>25107020</v>
      </c>
      <c r="B55" s="284" t="s">
        <v>255</v>
      </c>
      <c r="C55" s="248" t="s">
        <v>289</v>
      </c>
      <c r="D55" s="276" t="s">
        <v>290</v>
      </c>
      <c r="E55" s="284" t="s">
        <v>252</v>
      </c>
      <c r="F55" s="264">
        <v>2.4</v>
      </c>
      <c r="G55" s="262">
        <v>438</v>
      </c>
      <c r="H55" s="255">
        <v>8760</v>
      </c>
      <c r="I55" s="259">
        <v>40.1</v>
      </c>
    </row>
    <row r="56" spans="1:18" x14ac:dyDescent="0.2">
      <c r="A56" s="283">
        <v>25107021</v>
      </c>
      <c r="B56" s="284" t="s">
        <v>255</v>
      </c>
      <c r="C56" s="248" t="s">
        <v>289</v>
      </c>
      <c r="D56" s="276" t="s">
        <v>290</v>
      </c>
      <c r="E56" s="284" t="s">
        <v>254</v>
      </c>
      <c r="F56" s="264">
        <v>2.4</v>
      </c>
      <c r="G56" s="262">
        <v>438</v>
      </c>
      <c r="H56" s="255">
        <v>8760</v>
      </c>
      <c r="I56" s="259">
        <v>40.1</v>
      </c>
    </row>
    <row r="57" spans="1:18" x14ac:dyDescent="0.2">
      <c r="A57" s="283">
        <v>25107030</v>
      </c>
      <c r="B57" s="284" t="s">
        <v>291</v>
      </c>
      <c r="C57" s="248" t="s">
        <v>289</v>
      </c>
      <c r="D57" s="276" t="s">
        <v>290</v>
      </c>
      <c r="E57" s="284" t="s">
        <v>252</v>
      </c>
      <c r="F57" s="264">
        <v>2.4</v>
      </c>
      <c r="G57" s="262">
        <v>438</v>
      </c>
      <c r="H57" s="255">
        <v>8760</v>
      </c>
      <c r="I57" s="259">
        <v>40.1</v>
      </c>
    </row>
    <row r="58" spans="1:18" x14ac:dyDescent="0.2">
      <c r="A58" s="283">
        <v>25107031</v>
      </c>
      <c r="B58" s="284" t="s">
        <v>291</v>
      </c>
      <c r="C58" s="248" t="s">
        <v>289</v>
      </c>
      <c r="D58" s="276" t="s">
        <v>290</v>
      </c>
      <c r="E58" s="284" t="s">
        <v>254</v>
      </c>
      <c r="F58" s="264">
        <v>2.4</v>
      </c>
      <c r="G58" s="262">
        <v>438</v>
      </c>
      <c r="H58" s="255">
        <v>8760</v>
      </c>
      <c r="I58" s="259">
        <v>40.1</v>
      </c>
    </row>
    <row r="59" spans="1:18" x14ac:dyDescent="0.2">
      <c r="A59" s="283">
        <v>25106000</v>
      </c>
      <c r="B59" s="284" t="s">
        <v>292</v>
      </c>
      <c r="C59" s="248" t="s">
        <v>293</v>
      </c>
      <c r="D59" s="276" t="s">
        <v>294</v>
      </c>
      <c r="E59" s="284" t="s">
        <v>295</v>
      </c>
      <c r="F59" s="264">
        <v>2.7</v>
      </c>
      <c r="G59" s="262">
        <v>450</v>
      </c>
      <c r="H59" s="255">
        <v>7650</v>
      </c>
      <c r="I59" s="259">
        <v>78.599999999999994</v>
      </c>
      <c r="J59" s="242"/>
      <c r="K59" s="270"/>
      <c r="L59" s="249"/>
      <c r="M59" s="269"/>
      <c r="N59" s="268"/>
      <c r="O59" s="265"/>
      <c r="P59" s="263"/>
      <c r="Q59" s="256"/>
      <c r="R59" s="256"/>
    </row>
    <row r="60" spans="1:18" x14ac:dyDescent="0.2">
      <c r="A60" s="283">
        <v>25106300</v>
      </c>
      <c r="B60" s="284" t="s">
        <v>296</v>
      </c>
      <c r="C60" s="248" t="s">
        <v>293</v>
      </c>
      <c r="D60" s="276" t="s">
        <v>294</v>
      </c>
      <c r="E60" s="284" t="s">
        <v>295</v>
      </c>
      <c r="F60" s="264">
        <v>2.7</v>
      </c>
      <c r="G60" s="262">
        <v>450</v>
      </c>
      <c r="H60" s="255">
        <v>7650</v>
      </c>
      <c r="I60" s="259">
        <v>71.400000000000006</v>
      </c>
      <c r="L60" s="250"/>
      <c r="M60" s="254"/>
      <c r="N60" s="254"/>
      <c r="O60" s="250"/>
      <c r="P60" s="250"/>
      <c r="Q60" s="250"/>
      <c r="R60" s="243"/>
    </row>
    <row r="61" spans="1:18" x14ac:dyDescent="0.2">
      <c r="A61" s="285"/>
      <c r="B61" s="268"/>
      <c r="C61" s="249"/>
      <c r="D61" s="286"/>
      <c r="E61" s="268"/>
      <c r="F61" s="265"/>
      <c r="G61" s="263"/>
      <c r="H61" s="256"/>
      <c r="I61" s="287"/>
      <c r="L61" s="250"/>
      <c r="M61" s="254"/>
      <c r="N61" s="254"/>
      <c r="O61" s="250"/>
      <c r="P61" s="250"/>
      <c r="Q61" s="250"/>
      <c r="R61" s="243"/>
    </row>
    <row r="62" spans="1:18" x14ac:dyDescent="0.2">
      <c r="A62" s="278" t="s">
        <v>263</v>
      </c>
      <c r="B62" s="278"/>
      <c r="C62" s="249"/>
      <c r="D62" s="286"/>
      <c r="E62" s="268"/>
      <c r="F62" s="265"/>
      <c r="G62" s="263"/>
      <c r="H62" s="256"/>
      <c r="I62" s="287"/>
      <c r="J62" s="277"/>
      <c r="K62" s="277"/>
      <c r="L62" s="250"/>
      <c r="M62" s="254"/>
      <c r="N62" s="254"/>
      <c r="O62" s="250"/>
      <c r="P62" s="250"/>
      <c r="Q62" s="250"/>
      <c r="R62" s="243"/>
    </row>
    <row r="63" spans="1:18" x14ac:dyDescent="0.2">
      <c r="A63" s="272" t="s">
        <v>278</v>
      </c>
      <c r="B63" s="272"/>
      <c r="C63" s="250"/>
      <c r="D63" s="254"/>
      <c r="E63" s="254"/>
      <c r="F63" s="250"/>
      <c r="G63" s="250"/>
      <c r="H63" s="250"/>
    </row>
    <row r="64" spans="1:18" x14ac:dyDescent="0.2">
      <c r="A64" s="272" t="s">
        <v>281</v>
      </c>
      <c r="B64" s="272"/>
      <c r="C64" s="250"/>
      <c r="D64" s="254"/>
      <c r="E64" s="254"/>
      <c r="F64" s="250"/>
      <c r="G64" s="250"/>
      <c r="H64" s="250"/>
    </row>
    <row r="65" spans="1:8" x14ac:dyDescent="0.2">
      <c r="A65" s="272" t="s">
        <v>279</v>
      </c>
      <c r="B65" s="272"/>
      <c r="C65" s="250"/>
      <c r="D65" s="254"/>
      <c r="E65" s="254"/>
      <c r="F65" s="250"/>
      <c r="G65" s="250"/>
      <c r="H65" s="250"/>
    </row>
    <row r="66" spans="1:8" x14ac:dyDescent="0.2">
      <c r="A66" s="272" t="s">
        <v>280</v>
      </c>
      <c r="B66" s="272"/>
      <c r="C66" s="250"/>
      <c r="D66" s="254"/>
      <c r="E66" s="254"/>
      <c r="F66" s="250"/>
      <c r="G66" s="250"/>
      <c r="H66" s="250"/>
    </row>
    <row r="67" spans="1:8" x14ac:dyDescent="0.2">
      <c r="A67" s="261"/>
      <c r="B67" s="261"/>
      <c r="C67" s="250"/>
      <c r="D67" s="254"/>
      <c r="E67" s="254"/>
      <c r="F67" s="250"/>
      <c r="G67" s="250"/>
      <c r="H67" s="250"/>
    </row>
    <row r="68" spans="1:8" ht="15" x14ac:dyDescent="0.2">
      <c r="A68" s="274" t="s">
        <v>282</v>
      </c>
      <c r="B68" s="261"/>
      <c r="C68" s="250"/>
      <c r="D68" s="254"/>
      <c r="E68" s="254"/>
      <c r="F68" s="250"/>
      <c r="G68" s="250"/>
      <c r="H68" s="250"/>
    </row>
    <row r="69" spans="1:8" ht="14.25" x14ac:dyDescent="0.2">
      <c r="A69" s="275" t="s">
        <v>283</v>
      </c>
      <c r="B69" s="273"/>
    </row>
    <row r="70" spans="1:8" ht="15" x14ac:dyDescent="0.2">
      <c r="A70" s="274" t="s">
        <v>284</v>
      </c>
      <c r="B70" s="273"/>
    </row>
    <row r="71" spans="1:8" ht="15" x14ac:dyDescent="0.2">
      <c r="A71" s="274" t="s">
        <v>285</v>
      </c>
      <c r="B71" s="273"/>
    </row>
    <row r="72" spans="1:8" ht="15" x14ac:dyDescent="0.2">
      <c r="A72" s="274" t="s">
        <v>286</v>
      </c>
    </row>
  </sheetData>
  <mergeCells count="3">
    <mergeCell ref="A62:B62"/>
    <mergeCell ref="A2:H2"/>
    <mergeCell ref="C7:D7"/>
  </mergeCells>
  <conditionalFormatting sqref="I9:I26 I28:I62">
    <cfRule type="cellIs" dxfId="0" priority="1" stopIfTrue="1" operator="equal">
      <formula>0</formula>
    </cfRule>
  </conditionalFormatting>
  <pageMargins left="0.62992125984251968" right="0.19685039370078741" top="0.31496062992125984" bottom="0.1574803149606299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Схема №1 SPb (Сланцы)</vt:lpstr>
      <vt:lpstr>Cхема №2 Spb(Сланцы)</vt:lpstr>
      <vt:lpstr>EE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Laima</dc:creator>
  <cp:lastModifiedBy>Сергей Лебедев</cp:lastModifiedBy>
  <cp:lastPrinted>2013-03-12T08:39:00Z</cp:lastPrinted>
  <dcterms:created xsi:type="dcterms:W3CDTF">2004-12-02T07:10:02Z</dcterms:created>
  <dcterms:modified xsi:type="dcterms:W3CDTF">2014-02-03T09:43:12Z</dcterms:modified>
</cp:coreProperties>
</file>